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mori\mori_tmp\temp\申込書2\"/>
    </mc:Choice>
  </mc:AlternateContent>
  <xr:revisionPtr revIDLastSave="0" documentId="13_ncr:1_{D9112058-D7F3-4B77-B4A0-869CD702CB5E}" xr6:coauthVersionLast="47" xr6:coauthVersionMax="47" xr10:uidLastSave="{00000000-0000-0000-0000-000000000000}"/>
  <workbookProtection workbookAlgorithmName="SHA-512" workbookHashValue="/puClsmOPaRk2zaSsqiLV2Hw/S5KVQ+gCUb9zZ7NIkHpK6cY0czro+13vvZUFwvsKame6y3NcfFFHgnGDqIHEg==" workbookSaltValue="EcxG/Kz8z8UDyqP5UP/S3g==" workbookSpinCount="100000" lockStructure="1"/>
  <bookViews>
    <workbookView xWindow="-98" yWindow="-98" windowWidth="20715" windowHeight="13155" firstSheet="1" activeTab="2" xr2:uid="{D5D03816-A72D-4B8E-BA8A-5CE6FE476309}"/>
  </bookViews>
  <sheets>
    <sheet name="修正履歴" sheetId="86" state="hidden" r:id="rId1"/>
    <sheet name="Revision History" sheetId="106" r:id="rId2"/>
    <sheet name="Note(JP only)" sheetId="24" r:id="rId3"/>
    <sheet name="Project" sheetId="25" r:id="rId4"/>
    <sheet name="Researcher" sheetId="23" r:id="rId5"/>
    <sheet name="Hokkaido" sheetId="137" r:id="rId6"/>
    <sheet name="Tohoku" sheetId="143" r:id="rId7"/>
    <sheet name="Tokyo" sheetId="138" r:id="rId8"/>
    <sheet name="Science_Tokyo" sheetId="139" r:id="rId9"/>
    <sheet name="Nagoya" sheetId="149" r:id="rId10"/>
    <sheet name="Osaka" sheetId="144" r:id="rId11"/>
    <sheet name="Kyoto" sheetId="141" r:id="rId12"/>
    <sheet name="Kyushu" sheetId="132" r:id="rId13"/>
    <sheet name="mdx" sheetId="131" r:id="rId14"/>
    <sheet name="Project (Sample-J)" sheetId="145" r:id="rId15"/>
    <sheet name="Project (Sample-E)" sheetId="146" r:id="rId16"/>
    <sheet name="Researcher (Sample-J)" sheetId="147" r:id="rId17"/>
    <sheet name="Researcher (Sample-E)" sheetId="148" r:id="rId18"/>
  </sheets>
  <definedNames>
    <definedName name="kenkyusya_2021" localSheetId="12">#REF!</definedName>
    <definedName name="kenkyusya_2021" localSheetId="13">#REF!</definedName>
    <definedName name="kenkyusya_2021" localSheetId="9">#REF!</definedName>
    <definedName name="kenkyusya_2021" localSheetId="6">#REF!</definedName>
    <definedName name="kenkyusya_2021" localSheetId="7">#REF!</definedName>
    <definedName name="kenkyusya_2021">#REF!</definedName>
    <definedName name="mdx" localSheetId="13">#REF!</definedName>
    <definedName name="mdx" localSheetId="6">#REF!</definedName>
    <definedName name="mdx">#REF!</definedName>
    <definedName name="拠点" localSheetId="13">#REF!</definedName>
    <definedName name="拠点" localSheetId="6">#REF!</definedName>
    <definedName name="拠点">#REF!</definedName>
    <definedName name="京都大学" localSheetId="6">#REF!</definedName>
    <definedName name="京都大学">#REF!</definedName>
    <definedName name="九州大学" localSheetId="6">#REF!</definedName>
    <definedName name="九州大学">#REF!</definedName>
    <definedName name="小区分01_思想_芸術およびその関連分野" localSheetId="10">#REF!</definedName>
    <definedName name="小区分01_思想_芸術およびその関連分野" localSheetId="15">'Project (Sample-E)'!$J$19:$W$19</definedName>
    <definedName name="小区分01_思想_芸術およびその関連分野" localSheetId="14">'Project (Sample-J)'!$J$19:$W$19</definedName>
    <definedName name="小区分01_思想_芸術およびその関連分野">Project!$J$19:$W$19</definedName>
    <definedName name="小区分60010_情報学基礎論関連_Fundamentals_of_Informatics" localSheetId="10">#REF!</definedName>
    <definedName name="小区分60010_情報学基礎論関連_Fundamentals_of_Informatics" localSheetId="15">'Project (Sample-E)'!$J$121:$S$121</definedName>
    <definedName name="小区分60010_情報学基礎論関連_Fundamentals_of_Informatics" localSheetId="14">'Project (Sample-J)'!$J$121:$S$121</definedName>
    <definedName name="小区分60010_情報学基礎論関連_Fundamentals_of_Informatics">Project!$J$121:$S$121</definedName>
    <definedName name="小区分60020_数理情報学関連_Mathematical_Informatics" localSheetId="10">#REF!</definedName>
    <definedName name="小区分60020_数理情報学関連_Mathematical_Informatics" localSheetId="15">'Project (Sample-E)'!$J$122:$S$122</definedName>
    <definedName name="小区分60020_数理情報学関連_Mathematical_Informatics" localSheetId="14">'Project (Sample-J)'!$J$122:$S$122</definedName>
    <definedName name="小区分60020_数理情報学関連_Mathematical_Informatics">Project!$J$122:$S$122</definedName>
    <definedName name="小区分60030_統計科学関連_Statistical_Science" localSheetId="10">#REF!</definedName>
    <definedName name="小区分60030_統計科学関連_Statistical_Science" localSheetId="15">'Project (Sample-E)'!$J$123:$S$123</definedName>
    <definedName name="小区分60030_統計科学関連_Statistical_Science" localSheetId="14">'Project (Sample-J)'!$J$123:$S$123</definedName>
    <definedName name="小区分60030_統計科学関連_Statistical_Science">Project!$J$123:$S$123</definedName>
    <definedName name="小区分60040_計算機システム関連_Computer_Systems" localSheetId="10">#REF!</definedName>
    <definedName name="小区分60040_計算機システム関連_Computer_Systems" localSheetId="15">'Project (Sample-E)'!$J$124:$S$124</definedName>
    <definedName name="小区分60040_計算機システム関連_Computer_Systems" localSheetId="14">'Project (Sample-J)'!$J$124:$S$124</definedName>
    <definedName name="小区分60040_計算機システム関連_Computer_Systems">Project!$J$124:$S$124</definedName>
    <definedName name="小区分60050_ソフトウェア関連_Software" localSheetId="10">#REF!</definedName>
    <definedName name="小区分60050_ソフトウェア関連_Software" localSheetId="15">'Project (Sample-E)'!$J$125:$S$125</definedName>
    <definedName name="小区分60050_ソフトウェア関連_Software" localSheetId="14">'Project (Sample-J)'!$J$125:$S$125</definedName>
    <definedName name="小区分60050_ソフトウェア関連_Software">Project!$J$125:$S$125</definedName>
    <definedName name="小区分60060_情報ネットワーク関連_Information_Networking" localSheetId="10">#REF!</definedName>
    <definedName name="小区分60060_情報ネットワーク関連_Information_Networking" localSheetId="15">'Project (Sample-E)'!$J$126:$S$126</definedName>
    <definedName name="小区分60060_情報ネットワーク関連_Information_Networking" localSheetId="14">'Project (Sample-J)'!$J$126:$S$126</definedName>
    <definedName name="小区分60060_情報ネットワーク関連_Information_Networking">Project!$J$126:$S$126</definedName>
    <definedName name="小区分60070_情報セキュリティ関連_Information_Security" localSheetId="10">#REF!</definedName>
    <definedName name="小区分60070_情報セキュリティ関連_Information_Security" localSheetId="15">'Project (Sample-E)'!$J$127:$S$127</definedName>
    <definedName name="小区分60070_情報セキュリティ関連_Information_Security" localSheetId="14">'Project (Sample-J)'!$J$127:$S$127</definedName>
    <definedName name="小区分60070_情報セキュリティ関連_Information_Security">Project!$J$127:$S$127</definedName>
    <definedName name="小区分60080_データベース関連_Database" localSheetId="10">#REF!</definedName>
    <definedName name="小区分60080_データベース関連_Database" localSheetId="15">'Project (Sample-E)'!$J$128:$S$128</definedName>
    <definedName name="小区分60080_データベース関連_Database" localSheetId="14">'Project (Sample-J)'!$J$128:$S$128</definedName>
    <definedName name="小区分60080_データベース関連_Database">Project!$J$128:$S$128</definedName>
    <definedName name="小区分60090_高性能計算関連_High_Performance_Computing" localSheetId="10">#REF!</definedName>
    <definedName name="小区分60090_高性能計算関連_High_Performance_Computing" localSheetId="15">'Project (Sample-E)'!$J$129:$S$129</definedName>
    <definedName name="小区分60090_高性能計算関連_High_Performance_Computing" localSheetId="14">'Project (Sample-J)'!$J$129:$S$129</definedName>
    <definedName name="小区分60090_高性能計算関連_High_Performance_Computing">Project!$J$129:$S$129</definedName>
    <definedName name="小区分60100_計算科学関連_Computational_Science" localSheetId="10">#REF!</definedName>
    <definedName name="小区分60100_計算科学関連_Computational_Science" localSheetId="15">'Project (Sample-E)'!$J$130:$S$130</definedName>
    <definedName name="小区分60100_計算科学関連_Computational_Science" localSheetId="14">'Project (Sample-J)'!$J$130:$S$130</definedName>
    <definedName name="小区分60100_計算科学関連_Computational_Science">Project!$J$130:$S$130</definedName>
    <definedName name="小区分61010_知覚情報処理関連_Perceptual_Information_Processing" localSheetId="10">#REF!</definedName>
    <definedName name="小区分61010_知覚情報処理関連_Perceptual_Information_Processing" localSheetId="15">'Project (Sample-E)'!$J$131:$S$131</definedName>
    <definedName name="小区分61010_知覚情報処理関連_Perceptual_Information_Processing" localSheetId="14">'Project (Sample-J)'!$J$131:$S$131</definedName>
    <definedName name="小区分61010_知覚情報処理関連_Perceptual_Information_Processing">Project!$J$131:$S$131</definedName>
    <definedName name="小区分61020_ヒューマンインタフェースおよびインタラクション関連_Human_Interface_and_Interaction" localSheetId="10">#REF!</definedName>
    <definedName name="小区分61020_ヒューマンインタフェースおよびインタラクション関連_Human_Interface_and_Interaction" localSheetId="15">'Project (Sample-E)'!$J$132:$S$132</definedName>
    <definedName name="小区分61020_ヒューマンインタフェースおよびインタラクション関連_Human_Interface_and_Interaction" localSheetId="14">'Project (Sample-J)'!$J$132:$S$132</definedName>
    <definedName name="小区分61020_ヒューマンインタフェースおよびインタラクション関連_Human_Interface_and_Interaction">Project!$J$132:$S$132</definedName>
    <definedName name="小区分61030_知能情報学関連_Intelligent_Informatics" localSheetId="10">#REF!</definedName>
    <definedName name="小区分61030_知能情報学関連_Intelligent_Informatics" localSheetId="15">'Project (Sample-E)'!$J$133:$S$133</definedName>
    <definedName name="小区分61030_知能情報学関連_Intelligent_Informatics" localSheetId="14">'Project (Sample-J)'!$J$133:$S$133</definedName>
    <definedName name="小区分61030_知能情報学関連_Intelligent_Informatics">Project!$J$133:$S$133</definedName>
    <definedName name="小区分61040_ソフトコンピューティング関連_Soft_Computing" localSheetId="10">#REF!</definedName>
    <definedName name="小区分61040_ソフトコンピューティング関連_Soft_Computing" localSheetId="15">'Project (Sample-E)'!$J$134:$S$134</definedName>
    <definedName name="小区分61040_ソフトコンピューティング関連_Soft_Computing" localSheetId="14">'Project (Sample-J)'!$J$134:$S$134</definedName>
    <definedName name="小区分61040_ソフトコンピューティング関連_Soft_Computing">Project!$J$134:$S$134</definedName>
    <definedName name="小区分61050_知能ロボティクス関連_Intelligent_Robotics" localSheetId="10">#REF!</definedName>
    <definedName name="小区分61050_知能ロボティクス関連_Intelligent_Robotics" localSheetId="15">'Project (Sample-E)'!$J$135:$S$135</definedName>
    <definedName name="小区分61050_知能ロボティクス関連_Intelligent_Robotics" localSheetId="14">'Project (Sample-J)'!$J$135:$S$135</definedName>
    <definedName name="小区分61050_知能ロボティクス関連_Intelligent_Robotics">Project!$J$135:$S$135</definedName>
    <definedName name="小区分61060_感性情報学関連_Sensory_Informatics" localSheetId="10">#REF!</definedName>
    <definedName name="小区分61060_感性情報学関連_Sensory_Informatics" localSheetId="15">'Project (Sample-E)'!$J$136:$S$136</definedName>
    <definedName name="小区分61060_感性情報学関連_Sensory_Informatics" localSheetId="14">'Project (Sample-J)'!$J$136:$S$136</definedName>
    <definedName name="小区分61060_感性情報学関連_Sensory_Informatics">Project!$J$136:$S$136</definedName>
    <definedName name="小区分90010_デザイン学関連_Design_Science" localSheetId="10">#REF!</definedName>
    <definedName name="小区分90010_デザイン学関連_Design_Science" localSheetId="15">'Project (Sample-E)'!$J$137:$S$137</definedName>
    <definedName name="小区分90010_デザイン学関連_Design_Science" localSheetId="14">'Project (Sample-J)'!$J$137:$S$137</definedName>
    <definedName name="小区分90010_デザイン学関連_Design_Science">Project!$J$137:$S$137</definedName>
    <definedName name="小区分90030_認知科学関連_Cognitive_Science" localSheetId="10">#REF!</definedName>
    <definedName name="小区分90030_認知科学関連_Cognitive_Science" localSheetId="15">'Project (Sample-E)'!$J$138:$S$138</definedName>
    <definedName name="小区分90030_認知科学関連_Cognitive_Science" localSheetId="14">'Project (Sample-J)'!$J$138:$S$138</definedName>
    <definedName name="小区分90030_認知科学関連_Cognitive_Science">Project!$J$138:$S$138</definedName>
    <definedName name="情報ネットワーク関連" localSheetId="10">#REF!</definedName>
    <definedName name="情報ネットワーク関連" localSheetId="15">'Project (Sample-E)'!$I$59:$I$68</definedName>
    <definedName name="情報ネットワーク関連" localSheetId="14">'Project (Sample-J)'!$I$59:$I$68</definedName>
    <definedName name="情報ネットワーク関連">Project!$I$59:$I$68</definedName>
    <definedName name="情報学基礎論" localSheetId="10">#REF!</definedName>
    <definedName name="情報学基礎論" localSheetId="15">'Project (Sample-E)'!$I$3:$I$13</definedName>
    <definedName name="情報学基礎論" localSheetId="14">'Project (Sample-J)'!$I$3:$I$13</definedName>
    <definedName name="情報学基礎論">Project!$I$3:$I$13</definedName>
    <definedName name="情報分野小区分" localSheetId="10">#REF!</definedName>
    <definedName name="情報分野小区分" localSheetId="15">'Project (Sample-E)'!$I$2:$J$2</definedName>
    <definedName name="情報分野小区分" localSheetId="14">'Project (Sample-J)'!$I$2:$J$2</definedName>
    <definedName name="情報分野小区分">Project!$I$2:$J$2</definedName>
    <definedName name="大阪大学" localSheetId="9">#REF!</definedName>
    <definedName name="大阪大学" localSheetId="8">#REF!</definedName>
    <definedName name="大阪大学" localSheetId="6">#REF!</definedName>
    <definedName name="大阪大学">#REF!</definedName>
    <definedName name="中区分01_思想_芸術およびその関連分野" localSheetId="10">#REF!</definedName>
    <definedName name="中区分01_思想_芸術およびその関連分野" localSheetId="15">'Project (Sample-E)'!$J$19:$R$19</definedName>
    <definedName name="中区分01_思想_芸術およびその関連分野" localSheetId="14">'Project (Sample-J)'!$J$19:$R$19</definedName>
    <definedName name="中区分01_思想_芸術およびその関連分野">Project!$J$19:$R$19</definedName>
    <definedName name="中区分02_文学_言語学およびその関連分野" localSheetId="10">#REF!</definedName>
    <definedName name="中区分02_文学_言語学およびその関連分野" localSheetId="15">'Project (Sample-E)'!$J$20:$R$20</definedName>
    <definedName name="中区分02_文学_言語学およびその関連分野" localSheetId="14">'Project (Sample-J)'!$J$20:$R$20</definedName>
    <definedName name="中区分02_文学_言語学およびその関連分野">Project!$J$20:$R$20</definedName>
    <definedName name="中区分03_歴史学_考古学_博物館学およびその関連分野" localSheetId="10">#REF!</definedName>
    <definedName name="中区分03_歴史学_考古学_博物館学およびその関連分野" localSheetId="15">'Project (Sample-E)'!$J$21:$R$21</definedName>
    <definedName name="中区分03_歴史学_考古学_博物館学およびその関連分野" localSheetId="14">'Project (Sample-J)'!$J$21:$R$21</definedName>
    <definedName name="中区分03_歴史学_考古学_博物館学およびその関連分野">Project!$J$21:$R$21</definedName>
    <definedName name="中区分04_地理学_文化人類学_民俗学およびその関連分野" localSheetId="10">#REF!</definedName>
    <definedName name="中区分04_地理学_文化人類学_民俗学およびその関連分野" localSheetId="15">'Project (Sample-E)'!$J$22:$R$22</definedName>
    <definedName name="中区分04_地理学_文化人類学_民俗学およびその関連分野" localSheetId="14">'Project (Sample-J)'!$J$22:$R$22</definedName>
    <definedName name="中区分04_地理学_文化人類学_民俗学およびその関連分野">Project!$J$22:$R$22</definedName>
    <definedName name="中区分05_法学およびその関連分野" localSheetId="10">#REF!</definedName>
    <definedName name="中区分05_法学およびその関連分野" localSheetId="15">'Project (Sample-E)'!$J$23:$R$23</definedName>
    <definedName name="中区分05_法学およびその関連分野" localSheetId="14">'Project (Sample-J)'!$J$23:$R$23</definedName>
    <definedName name="中区分05_法学およびその関連分野">Project!$J$23:$R$23</definedName>
    <definedName name="中区分06_政治学およびその関連分野" localSheetId="10">#REF!</definedName>
    <definedName name="中区分06_政治学およびその関連分野" localSheetId="15">'Project (Sample-E)'!$J$24:$R$24</definedName>
    <definedName name="中区分06_政治学およびその関連分野" localSheetId="14">'Project (Sample-J)'!$J$24:$R$24</definedName>
    <definedName name="中区分06_政治学およびその関連分野">Project!$J$24:$R$24</definedName>
    <definedName name="中区分07_経済学_経営学およびその関連分野" localSheetId="10">#REF!</definedName>
    <definedName name="中区分07_経済学_経営学およびその関連分野" localSheetId="15">'Project (Sample-E)'!$J$25:$R$25</definedName>
    <definedName name="中区分07_経済学_経営学およびその関連分野" localSheetId="14">'Project (Sample-J)'!$J$25:$R$25</definedName>
    <definedName name="中区分07_経済学_経営学およびその関連分野">Project!$J$25:$R$25</definedName>
    <definedName name="中区分08_社会学およびその関連分野" localSheetId="10">#REF!</definedName>
    <definedName name="中区分08_社会学およびその関連分野" localSheetId="15">'Project (Sample-E)'!$J$26:$R$26</definedName>
    <definedName name="中区分08_社会学およびその関連分野" localSheetId="14">'Project (Sample-J)'!$J$26:$R$26</definedName>
    <definedName name="中区分08_社会学およびその関連分野">Project!$J$26:$R$26</definedName>
    <definedName name="中区分09_教育学およびその関連分野" localSheetId="10">#REF!</definedName>
    <definedName name="中区分09_教育学およびその関連分野" localSheetId="15">'Project (Sample-E)'!$J$27:$R$27</definedName>
    <definedName name="中区分09_教育学およびその関連分野" localSheetId="14">'Project (Sample-J)'!$J$27:$R$27</definedName>
    <definedName name="中区分09_教育学およびその関連分野">Project!$J$27:$R$27</definedName>
    <definedName name="中区分10_心理学およびその関連分野" localSheetId="10">#REF!</definedName>
    <definedName name="中区分10_心理学およびその関連分野" localSheetId="15">'Project (Sample-E)'!$J$28:$R$28</definedName>
    <definedName name="中区分10_心理学およびその関連分野" localSheetId="14">'Project (Sample-J)'!$J$28:$R$28</definedName>
    <definedName name="中区分10_心理学およびその関連分野">Project!$J$28:$R$28</definedName>
    <definedName name="中区分11_代数学_幾何学およびその関連分野" localSheetId="10">#REF!</definedName>
    <definedName name="中区分11_代数学_幾何学およびその関連分野" localSheetId="15">'Project (Sample-E)'!$J$29:$R$29</definedName>
    <definedName name="中区分11_代数学_幾何学およびその関連分野" localSheetId="14">'Project (Sample-J)'!$J$29:$R$29</definedName>
    <definedName name="中区分11_代数学_幾何学およびその関連分野">Project!$J$29:$R$29</definedName>
    <definedName name="中区分12_解析学_応用数学およびその関連分野" localSheetId="10">#REF!</definedName>
    <definedName name="中区分12_解析学_応用数学およびその関連分野" localSheetId="15">'Project (Sample-E)'!$J$30:$R$30</definedName>
    <definedName name="中区分12_解析学_応用数学およびその関連分野" localSheetId="14">'Project (Sample-J)'!$J$30:$R$30</definedName>
    <definedName name="中区分12_解析学_応用数学およびその関連分野">Project!$J$30:$R$30</definedName>
    <definedName name="中区分13_物性物理学およびその関連分野" localSheetId="10">#REF!</definedName>
    <definedName name="中区分13_物性物理学およびその関連分野" localSheetId="15">'Project (Sample-E)'!$J$31:$R$31</definedName>
    <definedName name="中区分13_物性物理学およびその関連分野" localSheetId="14">'Project (Sample-J)'!$J$31:$R$31</definedName>
    <definedName name="中区分13_物性物理学およびその関連分野">Project!$J$31:$R$31</definedName>
    <definedName name="中区分14_プラズマ学およびその関連分野" localSheetId="10">#REF!</definedName>
    <definedName name="中区分14_プラズマ学およびその関連分野" localSheetId="15">'Project (Sample-E)'!$J$32:$R$32</definedName>
    <definedName name="中区分14_プラズマ学およびその関連分野" localSheetId="14">'Project (Sample-J)'!$J$32:$R$32</definedName>
    <definedName name="中区分14_プラズマ学およびその関連分野">Project!$J$32:$R$32</definedName>
    <definedName name="中区分15_素粒子_原子核_宇宙物理学およびその関連分野" localSheetId="10">#REF!</definedName>
    <definedName name="中区分15_素粒子_原子核_宇宙物理学およびその関連分野" localSheetId="15">'Project (Sample-E)'!$J$33:$R$33</definedName>
    <definedName name="中区分15_素粒子_原子核_宇宙物理学およびその関連分野" localSheetId="14">'Project (Sample-J)'!$J$33:$R$33</definedName>
    <definedName name="中区分15_素粒子_原子核_宇宙物理学およびその関連分野">Project!$J$33:$R$33</definedName>
    <definedName name="中区分16_天文学およびその関連分野" localSheetId="10">#REF!</definedName>
    <definedName name="中区分16_天文学およびその関連分野" localSheetId="15">'Project (Sample-E)'!$J$34:$R$34</definedName>
    <definedName name="中区分16_天文学およびその関連分野" localSheetId="14">'Project (Sample-J)'!$J$34:$R$34</definedName>
    <definedName name="中区分16_天文学およびその関連分野">Project!$J$34:$R$34</definedName>
    <definedName name="中区分17_地球惑星科学およびその関連分野" localSheetId="10">#REF!</definedName>
    <definedName name="中区分17_地球惑星科学およびその関連分野" localSheetId="15">'Project (Sample-E)'!$J$35:$R$35</definedName>
    <definedName name="中区分17_地球惑星科学およびその関連分野" localSheetId="14">'Project (Sample-J)'!$J$35:$R$35</definedName>
    <definedName name="中区分17_地球惑星科学およびその関連分野">Project!$J$35:$R$35</definedName>
    <definedName name="中区分18_材料力学_生産工学_設計工学およびその関連分野" localSheetId="10">#REF!</definedName>
    <definedName name="中区分18_材料力学_生産工学_設計工学およびその関連分野" localSheetId="15">'Project (Sample-E)'!$J$36:$R$36</definedName>
    <definedName name="中区分18_材料力学_生産工学_設計工学およびその関連分野" localSheetId="14">'Project (Sample-J)'!$J$36:$R$36</definedName>
    <definedName name="中区分18_材料力学_生産工学_設計工学およびその関連分野">Project!$J$36:$R$36</definedName>
    <definedName name="中区分19_流体工学_熱工学およびその関連分野" localSheetId="10">#REF!</definedName>
    <definedName name="中区分19_流体工学_熱工学およびその関連分野" localSheetId="15">'Project (Sample-E)'!$J$37:$R$37</definedName>
    <definedName name="中区分19_流体工学_熱工学およびその関連分野" localSheetId="14">'Project (Sample-J)'!$J$37:$R$37</definedName>
    <definedName name="中区分19_流体工学_熱工学およびその関連分野">Project!$J$37:$R$37</definedName>
    <definedName name="中区分20_機械力学_ロボティクスおよびその関連分野" localSheetId="10">#REF!</definedName>
    <definedName name="中区分20_機械力学_ロボティクスおよびその関連分野" localSheetId="15">'Project (Sample-E)'!$J$38:$R$38</definedName>
    <definedName name="中区分20_機械力学_ロボティクスおよびその関連分野" localSheetId="14">'Project (Sample-J)'!$J$38:$R$38</definedName>
    <definedName name="中区分20_機械力学_ロボティクスおよびその関連分野">Project!$J$38:$R$38</definedName>
    <definedName name="中区分21_電気電子工学およびその関連分野" localSheetId="10">#REF!</definedName>
    <definedName name="中区分21_電気電子工学およびその関連分野" localSheetId="15">'Project (Sample-E)'!$J$39:$R$39</definedName>
    <definedName name="中区分21_電気電子工学およびその関連分野" localSheetId="14">'Project (Sample-J)'!$J$39:$R$39</definedName>
    <definedName name="中区分21_電気電子工学およびその関連分野">Project!$J$39:$R$39</definedName>
    <definedName name="中区分22_土木工学およびその関連分野" localSheetId="10">#REF!</definedName>
    <definedName name="中区分22_土木工学およびその関連分野" localSheetId="15">'Project (Sample-E)'!$J$40:$R$40</definedName>
    <definedName name="中区分22_土木工学およびその関連分野" localSheetId="14">'Project (Sample-J)'!$J$40:$R$40</definedName>
    <definedName name="中区分22_土木工学およびその関連分野">Project!$J$40:$R$40</definedName>
    <definedName name="中区分23_建築学およびその関連分野" localSheetId="10">#REF!</definedName>
    <definedName name="中区分23_建築学およびその関連分野" localSheetId="15">'Project (Sample-E)'!$J$41:$R$41</definedName>
    <definedName name="中区分23_建築学およびその関連分野" localSheetId="14">'Project (Sample-J)'!$J$41:$R$41</definedName>
    <definedName name="中区分23_建築学およびその関連分野">Project!$J$41:$R$41</definedName>
    <definedName name="中区分24_航空宇宙工学_船舶海洋工学およびその関連分野" localSheetId="10">#REF!</definedName>
    <definedName name="中区分24_航空宇宙工学_船舶海洋工学およびその関連分野" localSheetId="15">'Project (Sample-E)'!$J$42:$R$42</definedName>
    <definedName name="中区分24_航空宇宙工学_船舶海洋工学およびその関連分野" localSheetId="14">'Project (Sample-J)'!$J$42:$R$42</definedName>
    <definedName name="中区分24_航空宇宙工学_船舶海洋工学およびその関連分野">Project!$J$42:$R$42</definedName>
    <definedName name="中区分25_社会システム工学_安全工学_防災工学およびその関連分野" localSheetId="10">#REF!</definedName>
    <definedName name="中区分25_社会システム工学_安全工学_防災工学およびその関連分野" localSheetId="15">'Project (Sample-E)'!$J$43:$R$43</definedName>
    <definedName name="中区分25_社会システム工学_安全工学_防災工学およびその関連分野" localSheetId="14">'Project (Sample-J)'!$J$43:$R$43</definedName>
    <definedName name="中区分25_社会システム工学_安全工学_防災工学およびその関連分野">Project!$J$43:$R$43</definedName>
    <definedName name="中区分26_材料工学およびその関連分野" localSheetId="10">#REF!</definedName>
    <definedName name="中区分26_材料工学およびその関連分野" localSheetId="15">'Project (Sample-E)'!$J$44:$R$44</definedName>
    <definedName name="中区分26_材料工学およびその関連分野" localSheetId="14">'Project (Sample-J)'!$J$44:$R$44</definedName>
    <definedName name="中区分26_材料工学およびその関連分野">Project!$J$44:$R$44</definedName>
    <definedName name="中区分27_化学工学およびその関連分野" localSheetId="10">#REF!</definedName>
    <definedName name="中区分27_化学工学およびその関連分野" localSheetId="15">'Project (Sample-E)'!$J$45:$R$45</definedName>
    <definedName name="中区分27_化学工学およびその関連分野" localSheetId="14">'Project (Sample-J)'!$J$45:$R$45</definedName>
    <definedName name="中区分27_化学工学およびその関連分野">Project!$J$45:$R$45</definedName>
    <definedName name="中区分28_ナノマイクロ科学およびその関連分野" localSheetId="10">#REF!</definedName>
    <definedName name="中区分28_ナノマイクロ科学およびその関連分野" localSheetId="15">'Project (Sample-E)'!$J$46:$R$46</definedName>
    <definedName name="中区分28_ナノマイクロ科学およびその関連分野" localSheetId="14">'Project (Sample-J)'!$J$46:$R$46</definedName>
    <definedName name="中区分28_ナノマイクロ科学およびその関連分野">Project!$J$46:$R$46</definedName>
    <definedName name="中区分29_応用物理物性およびその関連分野" localSheetId="10">#REF!</definedName>
    <definedName name="中区分29_応用物理物性およびその関連分野" localSheetId="15">'Project (Sample-E)'!$J$47:$R$47</definedName>
    <definedName name="中区分29_応用物理物性およびその関連分野" localSheetId="14">'Project (Sample-J)'!$J$47:$R$47</definedName>
    <definedName name="中区分29_応用物理物性およびその関連分野">Project!$J$47:$R$47</definedName>
    <definedName name="中区分30_応用物理工学およびその関連分野" localSheetId="10">#REF!</definedName>
    <definedName name="中区分30_応用物理工学およびその関連分野" localSheetId="15">'Project (Sample-E)'!$J$48:$R$48</definedName>
    <definedName name="中区分30_応用物理工学およびその関連分野" localSheetId="14">'Project (Sample-J)'!$J$48:$R$48</definedName>
    <definedName name="中区分30_応用物理工学およびその関連分野">Project!$J$48:$R$48</definedName>
    <definedName name="中区分31_原子力工学_地球資源工学_エネルギー学およびその関連分野" localSheetId="10">#REF!</definedName>
    <definedName name="中区分31_原子力工学_地球資源工学_エネルギー学およびその関連分野" localSheetId="15">'Project (Sample-E)'!$J$49:$R$49</definedName>
    <definedName name="中区分31_原子力工学_地球資源工学_エネルギー学およびその関連分野" localSheetId="14">'Project (Sample-J)'!$J$49:$R$49</definedName>
    <definedName name="中区分31_原子力工学_地球資源工学_エネルギー学およびその関連分野">Project!$J$49:$R$49</definedName>
    <definedName name="中区分32_物理化学_機能物性化学およびその関連分野" localSheetId="10">#REF!</definedName>
    <definedName name="中区分32_物理化学_機能物性化学およびその関連分野" localSheetId="15">'Project (Sample-E)'!$J$51:$R$51</definedName>
    <definedName name="中区分32_物理化学_機能物性化学およびその関連分野" localSheetId="14">'Project (Sample-J)'!$J$51:$R$51</definedName>
    <definedName name="中区分32_物理化学_機能物性化学およびその関連分野">Project!$J$51:$R$51</definedName>
    <definedName name="中区分33_有機化学およびその関連分野" localSheetId="10">#REF!</definedName>
    <definedName name="中区分33_有機化学およびその関連分野" localSheetId="15">'Project (Sample-E)'!$J$52:$R$52</definedName>
    <definedName name="中区分33_有機化学およびその関連分野" localSheetId="14">'Project (Sample-J)'!$J$52:$R$52</definedName>
    <definedName name="中区分33_有機化学およびその関連分野">Project!$J$52:$R$52</definedName>
    <definedName name="中区分34_無機・錯体化学_分析化学およびその関連分野" localSheetId="10">#REF!</definedName>
    <definedName name="中区分34_無機・錯体化学_分析化学およびその関連分野" localSheetId="15">'Project (Sample-E)'!$J$53:$R$53</definedName>
    <definedName name="中区分34_無機・錯体化学_分析化学およびその関連分野" localSheetId="14">'Project (Sample-J)'!$J$53:$R$53</definedName>
    <definedName name="中区分34_無機・錯体化学_分析化学およびその関連分野">Project!$J$53:$R$53</definedName>
    <definedName name="中区分35_高分子_有機材料およびその関連分野" localSheetId="10">#REF!</definedName>
    <definedName name="中区分35_高分子_有機材料およびその関連分野" localSheetId="15">'Project (Sample-E)'!$J$54:$R$54</definedName>
    <definedName name="中区分35_高分子_有機材料およびその関連分野" localSheetId="14">'Project (Sample-J)'!$J$54:$R$54</definedName>
    <definedName name="中区分35_高分子_有機材料およびその関連分野">Project!$J$54:$R$54</definedName>
    <definedName name="中区分36_無機材料化学_エネルギー関連化学およびその関連分野" localSheetId="10">#REF!</definedName>
    <definedName name="中区分36_無機材料化学_エネルギー関連化学およびその関連分野" localSheetId="15">'Project (Sample-E)'!$J$55:$R$55</definedName>
    <definedName name="中区分36_無機材料化学_エネルギー関連化学およびその関連分野" localSheetId="14">'Project (Sample-J)'!$J$55:$R$55</definedName>
    <definedName name="中区分36_無機材料化学_エネルギー関連化学およびその関連分野">Project!$J$55:$R$55</definedName>
    <definedName name="中区分37_生体分子化学およびその関連分野" localSheetId="10">#REF!</definedName>
    <definedName name="中区分37_生体分子化学およびその関連分野" localSheetId="15">'Project (Sample-E)'!$J$56:$R$56</definedName>
    <definedName name="中区分37_生体分子化学およびその関連分野" localSheetId="14">'Project (Sample-J)'!$J$56:$R$56</definedName>
    <definedName name="中区分37_生体分子化学およびその関連分野">Project!$J$56:$R$56</definedName>
    <definedName name="中区分38_農芸化学およびその関連分野" localSheetId="10">#REF!</definedName>
    <definedName name="中区分38_農芸化学およびその関連分野" localSheetId="15">'Project (Sample-E)'!$J$57:$R$57</definedName>
    <definedName name="中区分38_農芸化学およびその関連分野" localSheetId="14">'Project (Sample-J)'!$J$57:$R$57</definedName>
    <definedName name="中区分38_農芸化学およびその関連分野">Project!$J$57:$R$57</definedName>
    <definedName name="中区分39_生産環境農学およびその関連分野" localSheetId="10">#REF!</definedName>
    <definedName name="中区分39_生産環境農学およびその関連分野" localSheetId="15">'Project (Sample-E)'!$J$58:$R$58</definedName>
    <definedName name="中区分39_生産環境農学およびその関連分野" localSheetId="14">'Project (Sample-J)'!$J$58:$R$58</definedName>
    <definedName name="中区分39_生産環境農学およびその関連分野">Project!$J$58:$R$58</definedName>
    <definedName name="中区分40_森林圏科学_水圏応用科学およびその関連分野" localSheetId="10">#REF!</definedName>
    <definedName name="中区分40_森林圏科学_水圏応用科学およびその関連分野" localSheetId="15">'Project (Sample-E)'!$J$59:$R$59</definedName>
    <definedName name="中区分40_森林圏科学_水圏応用科学およびその関連分野" localSheetId="14">'Project (Sample-J)'!$J$59:$R$59</definedName>
    <definedName name="中区分40_森林圏科学_水圏応用科学およびその関連分野">Project!$J$59:$R$59</definedName>
    <definedName name="中区分41_社会経済農学_農業工学およびその関連分野" localSheetId="10">#REF!</definedName>
    <definedName name="中区分41_社会経済農学_農業工学およびその関連分野" localSheetId="15">'Project (Sample-E)'!$J$60:$R$60</definedName>
    <definedName name="中区分41_社会経済農学_農業工学およびその関連分野" localSheetId="14">'Project (Sample-J)'!$J$60:$R$60</definedName>
    <definedName name="中区分41_社会経済農学_農業工学およびその関連分野">Project!$J$60:$R$60</definedName>
    <definedName name="中区分42_獣医学_畜産学およびその関連分野" localSheetId="10">#REF!</definedName>
    <definedName name="中区分42_獣医学_畜産学およびその関連分野" localSheetId="15">'Project (Sample-E)'!$J$61:$R$61</definedName>
    <definedName name="中区分42_獣医学_畜産学およびその関連分野" localSheetId="14">'Project (Sample-J)'!$J$61:$R$61</definedName>
    <definedName name="中区分42_獣医学_畜産学およびその関連分野">Project!$J$61:$R$61</definedName>
    <definedName name="中区分43_分子レベルから細胞レベルの生物学およびその関連分野" localSheetId="10">#REF!</definedName>
    <definedName name="中区分43_分子レベルから細胞レベルの生物学およびその関連分野" localSheetId="15">'Project (Sample-E)'!$J$62:$R$62</definedName>
    <definedName name="中区分43_分子レベルから細胞レベルの生物学およびその関連分野" localSheetId="14">'Project (Sample-J)'!$J$62:$R$62</definedName>
    <definedName name="中区分43_分子レベルから細胞レベルの生物学およびその関連分野">Project!$J$62:$R$62</definedName>
    <definedName name="中区分44_細胞レベルから個体レベルの生物学およびその関連分野" localSheetId="10">#REF!</definedName>
    <definedName name="中区分44_細胞レベルから個体レベルの生物学およびその関連分野" localSheetId="15">'Project (Sample-E)'!$J$63:$R$63</definedName>
    <definedName name="中区分44_細胞レベルから個体レベルの生物学およびその関連分野" localSheetId="14">'Project (Sample-J)'!$J$63:$R$63</definedName>
    <definedName name="中区分44_細胞レベルから個体レベルの生物学およびその関連分野">Project!$J$63:$R$63</definedName>
    <definedName name="中区分45_個体レベルから集団レベルの生物学と人類学およびその関連分野" localSheetId="10">#REF!</definedName>
    <definedName name="中区分45_個体レベルから集団レベルの生物学と人類学およびその関連分野" localSheetId="15">'Project (Sample-E)'!$J$64:$R$64</definedName>
    <definedName name="中区分45_個体レベルから集団レベルの生物学と人類学およびその関連分野" localSheetId="14">'Project (Sample-J)'!$J$64:$R$64</definedName>
    <definedName name="中区分45_個体レベルから集団レベルの生物学と人類学およびその関連分野">Project!$J$64:$R$64</definedName>
    <definedName name="中区分46_神経科学およびその関連分野" localSheetId="10">#REF!</definedName>
    <definedName name="中区分46_神経科学およびその関連分野" localSheetId="15">'Project (Sample-E)'!$J$65:$R$65</definedName>
    <definedName name="中区分46_神経科学およびその関連分野" localSheetId="14">'Project (Sample-J)'!$J$65:$R$65</definedName>
    <definedName name="中区分46_神経科学およびその関連分野">Project!$J$65:$R$65</definedName>
    <definedName name="中区分47_薬学およびその関連分野" localSheetId="10">#REF!</definedName>
    <definedName name="中区分47_薬学およびその関連分野" localSheetId="15">'Project (Sample-E)'!$J$66:$R$66</definedName>
    <definedName name="中区分47_薬学およびその関連分野" localSheetId="14">'Project (Sample-J)'!$J$66:$R$66</definedName>
    <definedName name="中区分47_薬学およびその関連分野">Project!$J$66:$R$66</definedName>
    <definedName name="中区分48_生体の構造と機能およびその関連分野" localSheetId="10">#REF!</definedName>
    <definedName name="中区分48_生体の構造と機能およびその関連分野" localSheetId="15">'Project (Sample-E)'!$J$67:$R$67</definedName>
    <definedName name="中区分48_生体の構造と機能およびその関連分野" localSheetId="14">'Project (Sample-J)'!$J$67:$R$67</definedName>
    <definedName name="中区分48_生体の構造と機能およびその関連分野">Project!$J$67:$R$67</definedName>
    <definedName name="中区分49_病理病態学_感染・免疫学およびその関連分野" localSheetId="10">#REF!</definedName>
    <definedName name="中区分49_病理病態学_感染・免疫学およびその関連分野" localSheetId="15">'Project (Sample-E)'!$J$68:$R$68</definedName>
    <definedName name="中区分49_病理病態学_感染・免疫学およびその関連分野" localSheetId="14">'Project (Sample-J)'!$J$68:$R$68</definedName>
    <definedName name="中区分49_病理病態学_感染・免疫学およびその関連分野">Project!$J$68:$R$68</definedName>
    <definedName name="中区分50_腫瘍学およびその関連分野" localSheetId="10">#REF!</definedName>
    <definedName name="中区分50_腫瘍学およびその関連分野" localSheetId="15">'Project (Sample-E)'!$J$69:$R$69</definedName>
    <definedName name="中区分50_腫瘍学およびその関連分野" localSheetId="14">'Project (Sample-J)'!$J$69:$R$69</definedName>
    <definedName name="中区分50_腫瘍学およびその関連分野">Project!$J$69:$R$69</definedName>
    <definedName name="中区分51_ブレインサイエンスおよびその関連分野" localSheetId="10">#REF!</definedName>
    <definedName name="中区分51_ブレインサイエンスおよびその関連分野" localSheetId="15">'Project (Sample-E)'!$J$70:$R$70</definedName>
    <definedName name="中区分51_ブレインサイエンスおよびその関連分野" localSheetId="14">'Project (Sample-J)'!$J$70:$R$70</definedName>
    <definedName name="中区分51_ブレインサイエンスおよびその関連分野">Project!$J$70:$R$70</definedName>
    <definedName name="中区分52_内科学一般およびその関連分野" localSheetId="10">#REF!</definedName>
    <definedName name="中区分52_内科学一般およびその関連分野" localSheetId="15">'Project (Sample-E)'!$J$71:$R$71</definedName>
    <definedName name="中区分52_内科学一般およびその関連分野" localSheetId="14">'Project (Sample-J)'!$J$71:$R$71</definedName>
    <definedName name="中区分52_内科学一般およびその関連分野">Project!$J$71:$R$71</definedName>
    <definedName name="中区分53_器官システム内科学およびその関連分野" localSheetId="10">#REF!</definedName>
    <definedName name="中区分53_器官システム内科学およびその関連分野" localSheetId="15">'Project (Sample-E)'!$J$72:$R$72</definedName>
    <definedName name="中区分53_器官システム内科学およびその関連分野" localSheetId="14">'Project (Sample-J)'!$J$72:$R$72</definedName>
    <definedName name="中区分53_器官システム内科学およびその関連分野">Project!$J$72:$R$72</definedName>
    <definedName name="中区分54_生体情報内科学およびその関連分野" localSheetId="10">#REF!</definedName>
    <definedName name="中区分54_生体情報内科学およびその関連分野" localSheetId="15">'Project (Sample-E)'!$J$73:$R$73</definedName>
    <definedName name="中区分54_生体情報内科学およびその関連分野" localSheetId="14">'Project (Sample-J)'!$J$73:$R$73</definedName>
    <definedName name="中区分54_生体情報内科学およびその関連分野">Project!$J$73:$R$73</definedName>
    <definedName name="中区分55_恒常性維持器官の外科学およびその関連分野" localSheetId="10">#REF!</definedName>
    <definedName name="中区分55_恒常性維持器官の外科学およびその関連分野" localSheetId="15">'Project (Sample-E)'!$J$74:$R$74</definedName>
    <definedName name="中区分55_恒常性維持器官の外科学およびその関連分野" localSheetId="14">'Project (Sample-J)'!$J$74:$R$74</definedName>
    <definedName name="中区分55_恒常性維持器官の外科学およびその関連分野">Project!$J$74:$R$74</definedName>
    <definedName name="中区分56_生体機能および感覚に関する外科学およびその関連分野" localSheetId="10">#REF!</definedName>
    <definedName name="中区分56_生体機能および感覚に関する外科学およびその関連分野" localSheetId="15">'Project (Sample-E)'!$J$75:$R$75</definedName>
    <definedName name="中区分56_生体機能および感覚に関する外科学およびその関連分野" localSheetId="14">'Project (Sample-J)'!$J$75:$R$75</definedName>
    <definedName name="中区分56_生体機能および感覚に関する外科学およびその関連分野">Project!$J$75:$R$75</definedName>
    <definedName name="中区分57_口腔科学およびその関連分野" localSheetId="10">#REF!</definedName>
    <definedName name="中区分57_口腔科学およびその関連分野" localSheetId="15">'Project (Sample-E)'!$J$76:$R$76</definedName>
    <definedName name="中区分57_口腔科学およびその関連分野" localSheetId="14">'Project (Sample-J)'!$J$76:$R$76</definedName>
    <definedName name="中区分57_口腔科学およびその関連分野">Project!$J$76:$R$76</definedName>
    <definedName name="中区分58_社会医学_看護学およびその関連分野" localSheetId="10">#REF!</definedName>
    <definedName name="中区分58_社会医学_看護学およびその関連分野" localSheetId="15">'Project (Sample-E)'!$J$77:$R$77</definedName>
    <definedName name="中区分58_社会医学_看護学およびその関連分野" localSheetId="14">'Project (Sample-J)'!$J$77:$R$77</definedName>
    <definedName name="中区分58_社会医学_看護学およびその関連分野">Project!$J$77:$R$77</definedName>
    <definedName name="中区分59_スポーツ科学_体育_健康科学およびその関連分野" localSheetId="10">#REF!</definedName>
    <definedName name="中区分59_スポーツ科学_体育_健康科学およびその関連分野" localSheetId="15">'Project (Sample-E)'!$J$78:$R$78</definedName>
    <definedName name="中区分59_スポーツ科学_体育_健康科学およびその関連分野" localSheetId="14">'Project (Sample-J)'!$J$78:$R$78</definedName>
    <definedName name="中区分59_スポーツ科学_体育_健康科学およびその関連分野">Project!$J$78:$R$78</definedName>
    <definedName name="中区分62_応用情報学およびその関連分野" localSheetId="10">#REF!</definedName>
    <definedName name="中区分62_応用情報学およびその関連分野" localSheetId="15">'Project (Sample-E)'!$J$80:$R$80</definedName>
    <definedName name="中区分62_応用情報学およびその関連分野" localSheetId="14">'Project (Sample-J)'!$J$80:$R$80</definedName>
    <definedName name="中区分62_応用情報学およびその関連分野">Project!$J$80:$R$80</definedName>
    <definedName name="中区分63_環境解析評価およびその関連分野" localSheetId="10">#REF!</definedName>
    <definedName name="中区分63_環境解析評価およびその関連分野" localSheetId="15">'Project (Sample-E)'!$J$81:$R$81</definedName>
    <definedName name="中区分63_環境解析評価およびその関連分野" localSheetId="14">'Project (Sample-J)'!$J$81:$R$81</definedName>
    <definedName name="中区分63_環境解析評価およびその関連分野">Project!$J$81:$R$81</definedName>
    <definedName name="中区分90_人間医工学およびその関連分野" localSheetId="10">#REF!</definedName>
    <definedName name="中区分90_人間医工学およびその関連分野" localSheetId="15">'Project (Sample-E)'!$J$79:$R$79</definedName>
    <definedName name="中区分90_人間医工学およびその関連分野" localSheetId="14">'Project (Sample-J)'!$J$79:$R$79</definedName>
    <definedName name="中区分90_人間医工学およびその関連分野">Project!$J$79:$R$79</definedName>
    <definedName name="東京工業大学" localSheetId="9">#REF!</definedName>
    <definedName name="東京工業大学" localSheetId="8">#REF!</definedName>
    <definedName name="東京工業大学" localSheetId="6">#REF!</definedName>
    <definedName name="東京工業大学">#REF!</definedName>
    <definedName name="東京大学" localSheetId="6">#REF!</definedName>
    <definedName name="東京大学">#REF!</definedName>
    <definedName name="東北大学" localSheetId="6">#REF!</definedName>
    <definedName name="東北大学">#REF!</definedName>
    <definedName name="北海道大学" localSheetId="6">#REF!</definedName>
    <definedName name="北海道大学">#REF!</definedName>
    <definedName name="名古屋大学" localSheetId="6">#REF!</definedName>
    <definedName name="名古屋大学">#REF!</definedName>
    <definedName name="歴史学_考古学_博物館学およびその関連分野" localSheetId="10">#REF!</definedName>
    <definedName name="歴史学_考古学_博物館学およびその関連分野" localSheetId="15">'Project (Sample-E)'!$K$49:$K$55</definedName>
    <definedName name="歴史学_考古学_博物館学およびその関連分野" localSheetId="14">'Project (Sample-J)'!$K$49:$K$55</definedName>
    <definedName name="歴史学_考古学_博物館学およびその関連分野">Project!$K$49:$K$55</definedName>
  </definedNames>
  <calcPr calcId="191028"/>
  <customWorkbookViews>
    <customWorkbookView name="test2" guid="{D4CE0652-A5DF-43C0-83BF-BF03466745E6}" maximized="1" xWindow="-8" yWindow="-8" windowWidth="1382" windowHeight="744"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1" i="149" l="1"/>
  <c r="F21" i="149" s="1"/>
  <c r="H21" i="149"/>
  <c r="H19" i="149"/>
  <c r="H18" i="149"/>
  <c r="F18" i="149"/>
  <c r="B7" i="149" s="1"/>
  <c r="H17" i="149"/>
  <c r="G17" i="149"/>
  <c r="F17" i="149"/>
  <c r="H16" i="149"/>
  <c r="G16" i="149"/>
  <c r="F16" i="149"/>
  <c r="H15" i="149"/>
  <c r="G15" i="149"/>
  <c r="F15" i="149"/>
  <c r="B5" i="149" s="1"/>
  <c r="H9" i="149"/>
  <c r="H8" i="149"/>
  <c r="B6" i="149" l="1"/>
  <c r="B8" i="149"/>
  <c r="C8" i="149" s="1"/>
  <c r="C9" i="149" s="1"/>
  <c r="D17" i="25" l="1"/>
  <c r="C43" i="25"/>
  <c r="C42" i="25"/>
  <c r="C41" i="25"/>
  <c r="C40" i="25"/>
  <c r="C39" i="25"/>
  <c r="C38" i="25"/>
  <c r="C37" i="25"/>
  <c r="C34" i="25"/>
  <c r="C33" i="25"/>
  <c r="C32" i="25"/>
  <c r="C31" i="25"/>
  <c r="C30" i="25"/>
  <c r="C29" i="25"/>
  <c r="C27" i="25"/>
  <c r="C16" i="25"/>
  <c r="C15" i="25"/>
  <c r="C10" i="25"/>
  <c r="C9" i="25"/>
  <c r="D8" i="25"/>
  <c r="C7" i="25"/>
  <c r="H2" i="148" l="1"/>
  <c r="H2" i="147"/>
  <c r="Q138" i="146" l="1"/>
  <c r="P138" i="146"/>
  <c r="O138" i="146"/>
  <c r="N138" i="146"/>
  <c r="M138" i="146"/>
  <c r="L138" i="146"/>
  <c r="K138" i="146"/>
  <c r="J138" i="146"/>
  <c r="I138" i="146"/>
  <c r="S137" i="146"/>
  <c r="R137" i="146"/>
  <c r="Q137" i="146"/>
  <c r="P137" i="146"/>
  <c r="O137" i="146"/>
  <c r="N137" i="146"/>
  <c r="M137" i="146"/>
  <c r="L137" i="146"/>
  <c r="K137" i="146"/>
  <c r="J137" i="146"/>
  <c r="I137" i="146"/>
  <c r="S136" i="146"/>
  <c r="R136" i="146"/>
  <c r="Q136" i="146"/>
  <c r="P136" i="146"/>
  <c r="O136" i="146"/>
  <c r="N136" i="146"/>
  <c r="M136" i="146"/>
  <c r="L136" i="146"/>
  <c r="K136" i="146"/>
  <c r="J136" i="146"/>
  <c r="I136" i="146"/>
  <c r="R135" i="146"/>
  <c r="Q135" i="146"/>
  <c r="P135" i="146"/>
  <c r="O135" i="146"/>
  <c r="N135" i="146"/>
  <c r="M135" i="146"/>
  <c r="L135" i="146"/>
  <c r="K135" i="146"/>
  <c r="J135" i="146"/>
  <c r="I135" i="146"/>
  <c r="O134" i="146"/>
  <c r="N134" i="146"/>
  <c r="M134" i="146"/>
  <c r="L134" i="146"/>
  <c r="K134" i="146"/>
  <c r="J134" i="146"/>
  <c r="I134" i="146"/>
  <c r="S133" i="146"/>
  <c r="R133" i="146"/>
  <c r="Q133" i="146"/>
  <c r="P133" i="146"/>
  <c r="O133" i="146"/>
  <c r="N133" i="146"/>
  <c r="M133" i="146"/>
  <c r="L133" i="146"/>
  <c r="K133" i="146"/>
  <c r="J133" i="146"/>
  <c r="I133" i="146"/>
  <c r="S132" i="146"/>
  <c r="R132" i="146"/>
  <c r="Q132" i="146"/>
  <c r="P132" i="146"/>
  <c r="O132" i="146"/>
  <c r="N132" i="146"/>
  <c r="M132" i="146"/>
  <c r="L132" i="146"/>
  <c r="K132" i="146"/>
  <c r="J132" i="146"/>
  <c r="I132" i="146"/>
  <c r="R131" i="146"/>
  <c r="Q131" i="146"/>
  <c r="P131" i="146"/>
  <c r="O131" i="146"/>
  <c r="N131" i="146"/>
  <c r="M131" i="146"/>
  <c r="L131" i="146"/>
  <c r="K131" i="146"/>
  <c r="J131" i="146"/>
  <c r="I131" i="146"/>
  <c r="Q130" i="146"/>
  <c r="P130" i="146"/>
  <c r="O130" i="146"/>
  <c r="N130" i="146"/>
  <c r="M130" i="146"/>
  <c r="L130" i="146"/>
  <c r="K130" i="146"/>
  <c r="J130" i="146"/>
  <c r="I130" i="146"/>
  <c r="P129" i="146"/>
  <c r="O129" i="146"/>
  <c r="N129" i="146"/>
  <c r="M129" i="146"/>
  <c r="L129" i="146"/>
  <c r="K129" i="146"/>
  <c r="J129" i="146"/>
  <c r="I129" i="146"/>
  <c r="Q128" i="146"/>
  <c r="P128" i="146"/>
  <c r="O128" i="146"/>
  <c r="N128" i="146"/>
  <c r="M128" i="146"/>
  <c r="L128" i="146"/>
  <c r="K128" i="146"/>
  <c r="J128" i="146"/>
  <c r="I128" i="146"/>
  <c r="S127" i="146"/>
  <c r="R127" i="146"/>
  <c r="Q127" i="146"/>
  <c r="P127" i="146"/>
  <c r="O127" i="146"/>
  <c r="N127" i="146"/>
  <c r="M127" i="146"/>
  <c r="L127" i="146"/>
  <c r="K127" i="146"/>
  <c r="J127" i="146"/>
  <c r="I127" i="146"/>
  <c r="S126" i="146"/>
  <c r="R126" i="146"/>
  <c r="Q126" i="146"/>
  <c r="P126" i="146"/>
  <c r="O126" i="146"/>
  <c r="N126" i="146"/>
  <c r="M126" i="146"/>
  <c r="L126" i="146"/>
  <c r="K126" i="146"/>
  <c r="J126" i="146"/>
  <c r="I126" i="146"/>
  <c r="R125" i="146"/>
  <c r="Q125" i="146"/>
  <c r="P125" i="146"/>
  <c r="O125" i="146"/>
  <c r="N125" i="146"/>
  <c r="M125" i="146"/>
  <c r="L125" i="146"/>
  <c r="K125" i="146"/>
  <c r="J125" i="146"/>
  <c r="I125" i="146"/>
  <c r="R124" i="146"/>
  <c r="Q124" i="146"/>
  <c r="P124" i="146"/>
  <c r="O124" i="146"/>
  <c r="N124" i="146"/>
  <c r="M124" i="146"/>
  <c r="L124" i="146"/>
  <c r="K124" i="146"/>
  <c r="J124" i="146"/>
  <c r="I124" i="146"/>
  <c r="Q123" i="146"/>
  <c r="P123" i="146"/>
  <c r="O123" i="146"/>
  <c r="N123" i="146"/>
  <c r="M123" i="146"/>
  <c r="L123" i="146"/>
  <c r="K123" i="146"/>
  <c r="J123" i="146"/>
  <c r="I123" i="146"/>
  <c r="S122" i="146"/>
  <c r="R122" i="146"/>
  <c r="Q122" i="146"/>
  <c r="P122" i="146"/>
  <c r="O122" i="146"/>
  <c r="N122" i="146"/>
  <c r="M122" i="146"/>
  <c r="L122" i="146"/>
  <c r="K122" i="146"/>
  <c r="J122" i="146"/>
  <c r="I122" i="146"/>
  <c r="S121" i="146"/>
  <c r="R121" i="146"/>
  <c r="Q121" i="146"/>
  <c r="P121" i="146"/>
  <c r="O121" i="146"/>
  <c r="N121" i="146"/>
  <c r="M121" i="146"/>
  <c r="L121" i="146"/>
  <c r="K121" i="146"/>
  <c r="J121" i="146"/>
  <c r="I121" i="146"/>
  <c r="B53" i="146"/>
  <c r="B52" i="146"/>
  <c r="B51" i="146"/>
  <c r="B50" i="146"/>
  <c r="B49" i="146"/>
  <c r="B47" i="146"/>
  <c r="Q138" i="145"/>
  <c r="P138" i="145"/>
  <c r="O138" i="145"/>
  <c r="N138" i="145"/>
  <c r="M138" i="145"/>
  <c r="L138" i="145"/>
  <c r="K138" i="145"/>
  <c r="J138" i="145"/>
  <c r="I138" i="145"/>
  <c r="S137" i="145"/>
  <c r="R137" i="145"/>
  <c r="Q137" i="145"/>
  <c r="P137" i="145"/>
  <c r="O137" i="145"/>
  <c r="N137" i="145"/>
  <c r="M137" i="145"/>
  <c r="L137" i="145"/>
  <c r="K137" i="145"/>
  <c r="J137" i="145"/>
  <c r="I137" i="145"/>
  <c r="S136" i="145"/>
  <c r="R136" i="145"/>
  <c r="Q136" i="145"/>
  <c r="P136" i="145"/>
  <c r="O136" i="145"/>
  <c r="N136" i="145"/>
  <c r="M136" i="145"/>
  <c r="L136" i="145"/>
  <c r="K136" i="145"/>
  <c r="J136" i="145"/>
  <c r="I136" i="145"/>
  <c r="R135" i="145"/>
  <c r="Q135" i="145"/>
  <c r="P135" i="145"/>
  <c r="O135" i="145"/>
  <c r="N135" i="145"/>
  <c r="M135" i="145"/>
  <c r="L135" i="145"/>
  <c r="K135" i="145"/>
  <c r="J135" i="145"/>
  <c r="I135" i="145"/>
  <c r="O134" i="145"/>
  <c r="N134" i="145"/>
  <c r="M134" i="145"/>
  <c r="L134" i="145"/>
  <c r="K134" i="145"/>
  <c r="J134" i="145"/>
  <c r="I134" i="145"/>
  <c r="S133" i="145"/>
  <c r="R133" i="145"/>
  <c r="Q133" i="145"/>
  <c r="P133" i="145"/>
  <c r="O133" i="145"/>
  <c r="N133" i="145"/>
  <c r="M133" i="145"/>
  <c r="L133" i="145"/>
  <c r="K133" i="145"/>
  <c r="J133" i="145"/>
  <c r="I133" i="145"/>
  <c r="S132" i="145"/>
  <c r="R132" i="145"/>
  <c r="Q132" i="145"/>
  <c r="P132" i="145"/>
  <c r="O132" i="145"/>
  <c r="N132" i="145"/>
  <c r="M132" i="145"/>
  <c r="L132" i="145"/>
  <c r="K132" i="145"/>
  <c r="J132" i="145"/>
  <c r="I132" i="145"/>
  <c r="R131" i="145"/>
  <c r="Q131" i="145"/>
  <c r="P131" i="145"/>
  <c r="O131" i="145"/>
  <c r="N131" i="145"/>
  <c r="M131" i="145"/>
  <c r="L131" i="145"/>
  <c r="K131" i="145"/>
  <c r="J131" i="145"/>
  <c r="I131" i="145"/>
  <c r="Q130" i="145"/>
  <c r="P130" i="145"/>
  <c r="O130" i="145"/>
  <c r="N130" i="145"/>
  <c r="M130" i="145"/>
  <c r="L130" i="145"/>
  <c r="K130" i="145"/>
  <c r="J130" i="145"/>
  <c r="I130" i="145"/>
  <c r="P129" i="145"/>
  <c r="O129" i="145"/>
  <c r="N129" i="145"/>
  <c r="M129" i="145"/>
  <c r="L129" i="145"/>
  <c r="K129" i="145"/>
  <c r="J129" i="145"/>
  <c r="I129" i="145"/>
  <c r="Q128" i="145"/>
  <c r="P128" i="145"/>
  <c r="O128" i="145"/>
  <c r="N128" i="145"/>
  <c r="M128" i="145"/>
  <c r="L128" i="145"/>
  <c r="K128" i="145"/>
  <c r="J128" i="145"/>
  <c r="I128" i="145"/>
  <c r="S127" i="145"/>
  <c r="R127" i="145"/>
  <c r="Q127" i="145"/>
  <c r="P127" i="145"/>
  <c r="O127" i="145"/>
  <c r="N127" i="145"/>
  <c r="M127" i="145"/>
  <c r="L127" i="145"/>
  <c r="K127" i="145"/>
  <c r="J127" i="145"/>
  <c r="I127" i="145"/>
  <c r="S126" i="145"/>
  <c r="R126" i="145"/>
  <c r="Q126" i="145"/>
  <c r="P126" i="145"/>
  <c r="O126" i="145"/>
  <c r="N126" i="145"/>
  <c r="M126" i="145"/>
  <c r="L126" i="145"/>
  <c r="K126" i="145"/>
  <c r="J126" i="145"/>
  <c r="I126" i="145"/>
  <c r="R125" i="145"/>
  <c r="Q125" i="145"/>
  <c r="P125" i="145"/>
  <c r="O125" i="145"/>
  <c r="N125" i="145"/>
  <c r="M125" i="145"/>
  <c r="L125" i="145"/>
  <c r="K125" i="145"/>
  <c r="J125" i="145"/>
  <c r="I125" i="145"/>
  <c r="R124" i="145"/>
  <c r="Q124" i="145"/>
  <c r="P124" i="145"/>
  <c r="O124" i="145"/>
  <c r="N124" i="145"/>
  <c r="M124" i="145"/>
  <c r="L124" i="145"/>
  <c r="K124" i="145"/>
  <c r="J124" i="145"/>
  <c r="I124" i="145"/>
  <c r="Q123" i="145"/>
  <c r="P123" i="145"/>
  <c r="O123" i="145"/>
  <c r="N123" i="145"/>
  <c r="M123" i="145"/>
  <c r="L123" i="145"/>
  <c r="K123" i="145"/>
  <c r="J123" i="145"/>
  <c r="I123" i="145"/>
  <c r="S122" i="145"/>
  <c r="R122" i="145"/>
  <c r="Q122" i="145"/>
  <c r="P122" i="145"/>
  <c r="O122" i="145"/>
  <c r="N122" i="145"/>
  <c r="M122" i="145"/>
  <c r="L122" i="145"/>
  <c r="K122" i="145"/>
  <c r="J122" i="145"/>
  <c r="I122" i="145"/>
  <c r="S121" i="145"/>
  <c r="R121" i="145"/>
  <c r="Q121" i="145"/>
  <c r="P121" i="145"/>
  <c r="O121" i="145"/>
  <c r="N121" i="145"/>
  <c r="M121" i="145"/>
  <c r="L121" i="145"/>
  <c r="K121" i="145"/>
  <c r="J121" i="145"/>
  <c r="I121" i="145"/>
  <c r="B53" i="145"/>
  <c r="B52" i="145"/>
  <c r="B51" i="145"/>
  <c r="B50" i="145"/>
  <c r="B49" i="145"/>
  <c r="B47" i="145"/>
  <c r="M34" i="144"/>
  <c r="F34" i="144" s="1"/>
  <c r="B7" i="144" s="1"/>
  <c r="H34" i="144"/>
  <c r="M31" i="144"/>
  <c r="F31" i="144" s="1"/>
  <c r="H31" i="144"/>
  <c r="G31" i="144"/>
  <c r="M30" i="144" a="1"/>
  <c r="M30" i="144" s="1"/>
  <c r="F30" i="144" s="1"/>
  <c r="L30" i="144"/>
  <c r="K30" i="144"/>
  <c r="H30" i="144"/>
  <c r="G30" i="144"/>
  <c r="M27" i="144"/>
  <c r="H27" i="144"/>
  <c r="G27" i="144"/>
  <c r="F27" i="144"/>
  <c r="M26" i="144"/>
  <c r="H26" i="144"/>
  <c r="G26" i="144"/>
  <c r="F26" i="144"/>
  <c r="M25" i="144" a="1"/>
  <c r="M25" i="144" s="1"/>
  <c r="F25" i="144" s="1"/>
  <c r="L25" i="144"/>
  <c r="K25" i="144"/>
  <c r="H25" i="144"/>
  <c r="G25" i="144"/>
  <c r="K24" i="144"/>
  <c r="L24" i="144" s="1"/>
  <c r="M24" i="144" s="1" a="1"/>
  <c r="M24" i="144" s="1"/>
  <c r="F24" i="144" s="1"/>
  <c r="H24" i="144"/>
  <c r="G24" i="144"/>
  <c r="K23" i="144"/>
  <c r="L23" i="144" s="1"/>
  <c r="M23" i="144" s="1" a="1"/>
  <c r="M23" i="144" s="1"/>
  <c r="F23" i="144" s="1"/>
  <c r="H23" i="144"/>
  <c r="G23" i="144"/>
  <c r="O22" i="144"/>
  <c r="M22" i="144"/>
  <c r="H22" i="144"/>
  <c r="G22" i="144"/>
  <c r="B6" i="144" s="1"/>
  <c r="F22" i="144"/>
  <c r="M19" i="144"/>
  <c r="F19" i="144" s="1"/>
  <c r="H19" i="144"/>
  <c r="G19" i="144"/>
  <c r="K18" i="144"/>
  <c r="L18" i="144" s="1"/>
  <c r="M18" i="144" s="1"/>
  <c r="F18" i="144" s="1"/>
  <c r="H18" i="144"/>
  <c r="G18" i="144"/>
  <c r="M17" i="144"/>
  <c r="L17" i="144"/>
  <c r="K17" i="144"/>
  <c r="H17" i="144"/>
  <c r="G17" i="144"/>
  <c r="F17" i="144"/>
  <c r="K16" i="144"/>
  <c r="L16" i="144" s="1"/>
  <c r="M16" i="144" s="1"/>
  <c r="F16" i="144" s="1"/>
  <c r="H16" i="144"/>
  <c r="G16" i="144"/>
  <c r="K15" i="144"/>
  <c r="L15" i="144" s="1"/>
  <c r="M15" i="144" s="1"/>
  <c r="F15" i="144" s="1"/>
  <c r="H15" i="144"/>
  <c r="G15" i="144"/>
  <c r="F9" i="144"/>
  <c r="F8" i="144"/>
  <c r="B65" i="146" a="1"/>
  <c r="B60" i="145" a="1"/>
  <c r="C60" i="146" a="1"/>
  <c r="C65" i="146" a="1"/>
  <c r="B59" i="146" a="1"/>
  <c r="B63" i="146" a="1"/>
  <c r="C62" i="146" a="1"/>
  <c r="B65" i="145" a="1"/>
  <c r="B64" i="145" a="1"/>
  <c r="C59" i="145" a="1"/>
  <c r="B64" i="146" a="1"/>
  <c r="C61" i="146" a="1"/>
  <c r="C60" i="145" a="1"/>
  <c r="B68" i="146"/>
  <c r="B62" i="146" a="1"/>
  <c r="C59" i="146" a="1"/>
  <c r="C65" i="145" a="1"/>
  <c r="B60" i="146" a="1"/>
  <c r="C62" i="145" a="1"/>
  <c r="C63" i="146" a="1"/>
  <c r="C64" i="145" a="1"/>
  <c r="B62" i="145" a="1"/>
  <c r="C58" i="146" a="1"/>
  <c r="C58" i="145" a="1"/>
  <c r="B59" i="145" a="1"/>
  <c r="C61" i="145" a="1"/>
  <c r="C64" i="146" a="1"/>
  <c r="B63" i="145" a="1"/>
  <c r="C63" i="145" a="1"/>
  <c r="B68" i="145"/>
  <c r="C59" i="146" l="1"/>
  <c r="C61" i="146"/>
  <c r="C63" i="146"/>
  <c r="C65" i="146"/>
  <c r="B60" i="146"/>
  <c r="B62" i="146"/>
  <c r="B64" i="146"/>
  <c r="C68" i="146"/>
  <c r="C58" i="146"/>
  <c r="C60" i="146"/>
  <c r="C62" i="146"/>
  <c r="C64" i="146"/>
  <c r="B59" i="146"/>
  <c r="B63" i="146"/>
  <c r="B65" i="146"/>
  <c r="B60" i="145"/>
  <c r="B62" i="145"/>
  <c r="B64" i="145"/>
  <c r="C61" i="145"/>
  <c r="C58" i="145"/>
  <c r="C60" i="145"/>
  <c r="C62" i="145"/>
  <c r="C64" i="145"/>
  <c r="C63" i="145"/>
  <c r="C68" i="145"/>
  <c r="B59" i="145"/>
  <c r="B63" i="145"/>
  <c r="B65" i="145"/>
  <c r="C59" i="145"/>
  <c r="C65" i="145"/>
  <c r="B5" i="144"/>
  <c r="B8" i="144" s="1"/>
  <c r="C8" i="144" s="1"/>
  <c r="C9" i="144" s="1"/>
  <c r="B57" i="146" l="1"/>
  <c r="C57" i="146" s="1"/>
  <c r="B3" i="146" s="1" a="1"/>
  <c r="B3" i="146" s="1"/>
  <c r="B57" i="145"/>
  <c r="C57" i="145" s="1"/>
  <c r="B3" i="145" s="1" a="1"/>
  <c r="B3" i="145" s="1"/>
  <c r="J22" i="143"/>
  <c r="F22" i="143" s="1"/>
  <c r="J21" i="143"/>
  <c r="F21" i="143"/>
  <c r="H19" i="143"/>
  <c r="G19" i="143"/>
  <c r="F19" i="143"/>
  <c r="H18" i="143"/>
  <c r="G18" i="143"/>
  <c r="F18" i="143"/>
  <c r="J17" i="143"/>
  <c r="F17" i="143" s="1"/>
  <c r="H17" i="143"/>
  <c r="G17" i="143"/>
  <c r="J16" i="143"/>
  <c r="H16" i="143"/>
  <c r="G16" i="143"/>
  <c r="F16" i="143"/>
  <c r="H15" i="143"/>
  <c r="G15" i="143"/>
  <c r="F15" i="143"/>
  <c r="H9" i="143"/>
  <c r="H8" i="143"/>
  <c r="B6" i="143" l="1"/>
  <c r="B5" i="143"/>
  <c r="B8" i="143" s="1"/>
  <c r="C8" i="143" s="1"/>
  <c r="C9" i="143" s="1"/>
  <c r="B7" i="143"/>
  <c r="J35" i="141" l="1"/>
  <c r="F35" i="141" s="1"/>
  <c r="H35" i="141"/>
  <c r="J34" i="141"/>
  <c r="H34" i="141"/>
  <c r="F34" i="141"/>
  <c r="J33" i="141"/>
  <c r="F33" i="141" s="1"/>
  <c r="H33" i="141"/>
  <c r="H32" i="141"/>
  <c r="F32" i="141"/>
  <c r="J31" i="141"/>
  <c r="H31" i="141"/>
  <c r="F31" i="141"/>
  <c r="J30" i="141"/>
  <c r="H30" i="141"/>
  <c r="F30" i="141"/>
  <c r="J29" i="141"/>
  <c r="F29" i="141" s="1"/>
  <c r="H29" i="141"/>
  <c r="H28" i="141"/>
  <c r="F28" i="141"/>
  <c r="J27" i="141"/>
  <c r="H27" i="141"/>
  <c r="F27" i="141"/>
  <c r="J26" i="141"/>
  <c r="H26" i="141"/>
  <c r="F26" i="141"/>
  <c r="J25" i="141"/>
  <c r="F25" i="141" s="1"/>
  <c r="H25" i="141"/>
  <c r="H24" i="141"/>
  <c r="F24" i="141"/>
  <c r="J23" i="141"/>
  <c r="H23" i="141"/>
  <c r="F23" i="141"/>
  <c r="J22" i="141"/>
  <c r="F22" i="141" s="1"/>
  <c r="H22" i="141"/>
  <c r="J21" i="141"/>
  <c r="F21" i="141" s="1"/>
  <c r="H21" i="141"/>
  <c r="H20" i="141"/>
  <c r="F20" i="141"/>
  <c r="J18" i="141"/>
  <c r="H18" i="141"/>
  <c r="G18" i="141"/>
  <c r="F18" i="141"/>
  <c r="J17" i="141"/>
  <c r="F17" i="141" s="1"/>
  <c r="H17" i="141"/>
  <c r="G17" i="141"/>
  <c r="J16" i="141"/>
  <c r="F16" i="141"/>
  <c r="G16" i="141" s="1"/>
  <c r="C16" i="141"/>
  <c r="H16" i="141" s="1"/>
  <c r="J15" i="141"/>
  <c r="F15" i="141" s="1"/>
  <c r="B5" i="141" s="1"/>
  <c r="G15" i="141"/>
  <c r="H9" i="141"/>
  <c r="H8" i="141"/>
  <c r="B6" i="141" l="1"/>
  <c r="B7" i="141"/>
  <c r="B8" i="141" s="1"/>
  <c r="C8" i="141" s="1"/>
  <c r="C15" i="141"/>
  <c r="H15" i="141" s="1"/>
  <c r="C9" i="141" l="1"/>
  <c r="I21" i="139"/>
  <c r="I28" i="139"/>
  <c r="I24" i="139"/>
  <c r="I23" i="139"/>
  <c r="I22" i="139"/>
  <c r="L28" i="139" l="1"/>
  <c r="K28" i="139"/>
  <c r="G28" i="139"/>
  <c r="F28" i="139"/>
  <c r="L27" i="139"/>
  <c r="K27" i="139"/>
  <c r="F27" i="139" s="1"/>
  <c r="F26" i="139" s="1"/>
  <c r="I27" i="139"/>
  <c r="G27" i="139"/>
  <c r="G26" i="139" s="1"/>
  <c r="D26" i="139"/>
  <c r="I26" i="139" s="1"/>
  <c r="L24" i="139"/>
  <c r="G24" i="139"/>
  <c r="F24" i="139"/>
  <c r="C24" i="139"/>
  <c r="L23" i="139"/>
  <c r="G23" i="139" s="1"/>
  <c r="F23" i="139"/>
  <c r="C23" i="139"/>
  <c r="L22" i="139"/>
  <c r="G22" i="139"/>
  <c r="F22" i="139"/>
  <c r="C22" i="139"/>
  <c r="L21" i="139"/>
  <c r="G21" i="139" s="1"/>
  <c r="F21" i="139"/>
  <c r="C21" i="139"/>
  <c r="L20" i="139"/>
  <c r="D20" i="139"/>
  <c r="I20" i="139" s="1"/>
  <c r="C20" i="139"/>
  <c r="C18" i="139"/>
  <c r="H17" i="139"/>
  <c r="B6" i="139" s="1"/>
  <c r="C17" i="139"/>
  <c r="G9" i="139"/>
  <c r="G8" i="139"/>
  <c r="F20" i="139" l="1"/>
  <c r="G20" i="139"/>
  <c r="F18" i="139" l="1"/>
  <c r="F17" i="139"/>
  <c r="I17" i="139" l="1"/>
  <c r="G17" i="139"/>
  <c r="B5" i="139" s="1"/>
  <c r="B8" i="139" s="1"/>
  <c r="C8" i="139" s="1"/>
  <c r="C9" i="139" s="1"/>
  <c r="I18" i="139"/>
  <c r="G18" i="139"/>
  <c r="H21" i="138" l="1"/>
  <c r="G21" i="138"/>
  <c r="F21" i="138"/>
  <c r="K20" i="138"/>
  <c r="G20" i="138"/>
  <c r="F20" i="138"/>
  <c r="C20" i="138"/>
  <c r="H20" i="138" s="1"/>
  <c r="K19" i="138"/>
  <c r="F19" i="138" s="1"/>
  <c r="H19" i="138"/>
  <c r="G19" i="138"/>
  <c r="C19" i="138"/>
  <c r="H18" i="138"/>
  <c r="G18" i="138"/>
  <c r="F18" i="138"/>
  <c r="K17" i="138"/>
  <c r="H17" i="138"/>
  <c r="G17" i="138"/>
  <c r="F17" i="138"/>
  <c r="K16" i="138"/>
  <c r="H16" i="138"/>
  <c r="G16" i="138"/>
  <c r="F16" i="138"/>
  <c r="K15" i="138"/>
  <c r="H15" i="138"/>
  <c r="G15" i="138"/>
  <c r="F15" i="138"/>
  <c r="F9" i="138"/>
  <c r="F8" i="138"/>
  <c r="B6" i="138" l="1"/>
  <c r="B5" i="138"/>
  <c r="B8" i="138" s="1"/>
  <c r="C8" i="138" s="1"/>
  <c r="C9" i="138" s="1"/>
  <c r="O25" i="137" l="1"/>
  <c r="G25" i="137" s="1"/>
  <c r="O24" i="137"/>
  <c r="G24" i="137"/>
  <c r="O23" i="137"/>
  <c r="I23" i="137"/>
  <c r="G23" i="137"/>
  <c r="B7" i="137" s="1"/>
  <c r="F23" i="137"/>
  <c r="I21" i="137"/>
  <c r="H21" i="137"/>
  <c r="G21" i="137"/>
  <c r="F21" i="137"/>
  <c r="I20" i="137"/>
  <c r="H20" i="137"/>
  <c r="G20" i="137"/>
  <c r="F20" i="137"/>
  <c r="I19" i="137"/>
  <c r="H19" i="137"/>
  <c r="G19" i="137"/>
  <c r="F19" i="137"/>
  <c r="I18" i="137"/>
  <c r="H18" i="137"/>
  <c r="G18" i="137"/>
  <c r="F18" i="137"/>
  <c r="O17" i="137"/>
  <c r="G17" i="137" s="1"/>
  <c r="M17" i="137"/>
  <c r="I17" i="137"/>
  <c r="H17" i="137"/>
  <c r="F17" i="137"/>
  <c r="C17" i="137"/>
  <c r="N16" i="137"/>
  <c r="M16" i="137"/>
  <c r="I16" i="137"/>
  <c r="H16" i="137"/>
  <c r="G16" i="137"/>
  <c r="F16" i="137"/>
  <c r="N15" i="137"/>
  <c r="M15" i="137"/>
  <c r="I15" i="137"/>
  <c r="H15" i="137"/>
  <c r="B6" i="137" s="1"/>
  <c r="G15" i="137"/>
  <c r="F15" i="137"/>
  <c r="I9" i="137"/>
  <c r="I8" i="137"/>
  <c r="B5" i="137" l="1"/>
  <c r="B8" i="137" s="1"/>
  <c r="C8" i="137" s="1"/>
  <c r="C9" i="137" s="1"/>
  <c r="H22" i="132" l="1"/>
  <c r="G22" i="132"/>
  <c r="F22" i="132"/>
  <c r="H21" i="132"/>
  <c r="G21" i="132"/>
  <c r="F21" i="132"/>
  <c r="H20" i="132"/>
  <c r="G20" i="132"/>
  <c r="F20" i="132"/>
  <c r="H18" i="132"/>
  <c r="G18" i="132"/>
  <c r="F18" i="132"/>
  <c r="H17" i="132"/>
  <c r="G17" i="132"/>
  <c r="F17" i="132"/>
  <c r="H15" i="132"/>
  <c r="F15" i="132"/>
  <c r="B5" i="132" s="1"/>
  <c r="B8" i="132" s="1"/>
  <c r="H9" i="132"/>
  <c r="H8" i="132"/>
  <c r="B6" i="132" l="1"/>
  <c r="C8" i="132"/>
  <c r="H14" i="132"/>
  <c r="C9" i="132" l="1"/>
  <c r="B6" i="131" l="1"/>
  <c r="B7" i="131" s="1"/>
  <c r="H2" i="23" l="1"/>
  <c r="C61" i="25" a="1"/>
  <c r="B68" i="25"/>
  <c r="B58" i="25"/>
  <c r="C61" i="25" l="1"/>
  <c r="B61" i="25" a="1"/>
  <c r="B61" i="25" l="1"/>
  <c r="B52" i="25"/>
  <c r="B53" i="25"/>
  <c r="B51" i="25"/>
  <c r="B50" i="25"/>
  <c r="B49" i="25"/>
  <c r="B48" i="25"/>
  <c r="B47" i="25"/>
  <c r="B46" i="25"/>
  <c r="I138" i="25" l="1"/>
  <c r="I137" i="25"/>
  <c r="I136" i="25"/>
  <c r="I135" i="25"/>
  <c r="I134" i="25"/>
  <c r="I133" i="25"/>
  <c r="I132" i="25"/>
  <c r="I131" i="25"/>
  <c r="I130" i="25"/>
  <c r="I129" i="25"/>
  <c r="I128" i="25"/>
  <c r="I127" i="25"/>
  <c r="I126" i="25"/>
  <c r="I125" i="25"/>
  <c r="I124" i="25"/>
  <c r="I123" i="25"/>
  <c r="I122" i="25"/>
  <c r="I121" i="25"/>
  <c r="Q138" i="25"/>
  <c r="P138" i="25"/>
  <c r="O138" i="25"/>
  <c r="N138" i="25"/>
  <c r="M138" i="25"/>
  <c r="L138" i="25"/>
  <c r="K138" i="25"/>
  <c r="J138" i="25"/>
  <c r="S137" i="25"/>
  <c r="R137" i="25"/>
  <c r="Q137" i="25"/>
  <c r="P137" i="25"/>
  <c r="O137" i="25"/>
  <c r="N137" i="25"/>
  <c r="M137" i="25"/>
  <c r="L137" i="25"/>
  <c r="K137" i="25"/>
  <c r="J137" i="25"/>
  <c r="S136" i="25"/>
  <c r="R136" i="25"/>
  <c r="Q136" i="25"/>
  <c r="P136" i="25"/>
  <c r="O136" i="25"/>
  <c r="N136" i="25"/>
  <c r="M136" i="25"/>
  <c r="L136" i="25"/>
  <c r="K136" i="25"/>
  <c r="J136" i="25"/>
  <c r="R135" i="25"/>
  <c r="Q135" i="25"/>
  <c r="P135" i="25"/>
  <c r="O135" i="25"/>
  <c r="N135" i="25"/>
  <c r="M135" i="25"/>
  <c r="L135" i="25"/>
  <c r="K135" i="25"/>
  <c r="J135" i="25"/>
  <c r="O134" i="25"/>
  <c r="N134" i="25"/>
  <c r="M134" i="25"/>
  <c r="L134" i="25"/>
  <c r="K134" i="25"/>
  <c r="J134" i="25"/>
  <c r="S133" i="25"/>
  <c r="R133" i="25"/>
  <c r="Q133" i="25"/>
  <c r="P133" i="25"/>
  <c r="O133" i="25"/>
  <c r="N133" i="25"/>
  <c r="M133" i="25"/>
  <c r="L133" i="25"/>
  <c r="K133" i="25"/>
  <c r="J133" i="25"/>
  <c r="S132" i="25"/>
  <c r="R132" i="25"/>
  <c r="Q132" i="25"/>
  <c r="P132" i="25"/>
  <c r="O132" i="25"/>
  <c r="N132" i="25"/>
  <c r="M132" i="25"/>
  <c r="L132" i="25"/>
  <c r="K132" i="25"/>
  <c r="J132" i="25"/>
  <c r="R131" i="25"/>
  <c r="Q131" i="25"/>
  <c r="P131" i="25"/>
  <c r="O131" i="25"/>
  <c r="N131" i="25"/>
  <c r="M131" i="25"/>
  <c r="L131" i="25"/>
  <c r="K131" i="25"/>
  <c r="J131" i="25"/>
  <c r="Q130" i="25"/>
  <c r="P130" i="25"/>
  <c r="O130" i="25"/>
  <c r="N130" i="25"/>
  <c r="M130" i="25"/>
  <c r="L130" i="25"/>
  <c r="K130" i="25"/>
  <c r="J130" i="25"/>
  <c r="P129" i="25"/>
  <c r="O129" i="25"/>
  <c r="N129" i="25"/>
  <c r="M129" i="25"/>
  <c r="L129" i="25"/>
  <c r="K129" i="25"/>
  <c r="J129" i="25"/>
  <c r="Q128" i="25"/>
  <c r="P128" i="25"/>
  <c r="O128" i="25"/>
  <c r="N128" i="25"/>
  <c r="M128" i="25"/>
  <c r="L128" i="25"/>
  <c r="K128" i="25"/>
  <c r="J128" i="25"/>
  <c r="S127" i="25"/>
  <c r="R127" i="25"/>
  <c r="Q127" i="25"/>
  <c r="P127" i="25"/>
  <c r="O127" i="25"/>
  <c r="N127" i="25"/>
  <c r="M127" i="25"/>
  <c r="L127" i="25"/>
  <c r="K127" i="25"/>
  <c r="J127" i="25"/>
  <c r="S126" i="25"/>
  <c r="R126" i="25"/>
  <c r="Q126" i="25"/>
  <c r="P126" i="25"/>
  <c r="O126" i="25"/>
  <c r="N126" i="25"/>
  <c r="M126" i="25"/>
  <c r="L126" i="25"/>
  <c r="K126" i="25"/>
  <c r="J126" i="25"/>
  <c r="R125" i="25"/>
  <c r="Q125" i="25"/>
  <c r="P125" i="25"/>
  <c r="O125" i="25"/>
  <c r="N125" i="25"/>
  <c r="M125" i="25"/>
  <c r="L125" i="25"/>
  <c r="K125" i="25"/>
  <c r="J125" i="25"/>
  <c r="R124" i="25"/>
  <c r="Q124" i="25"/>
  <c r="P124" i="25"/>
  <c r="O124" i="25"/>
  <c r="N124" i="25"/>
  <c r="M124" i="25"/>
  <c r="L124" i="25"/>
  <c r="K124" i="25"/>
  <c r="J124" i="25"/>
  <c r="Q123" i="25"/>
  <c r="P123" i="25"/>
  <c r="O123" i="25"/>
  <c r="N123" i="25"/>
  <c r="M123" i="25"/>
  <c r="L123" i="25"/>
  <c r="K123" i="25"/>
  <c r="J123" i="25"/>
  <c r="S122" i="25"/>
  <c r="R122" i="25"/>
  <c r="Q122" i="25"/>
  <c r="P122" i="25"/>
  <c r="O122" i="25"/>
  <c r="N122" i="25"/>
  <c r="M122" i="25"/>
  <c r="L122" i="25"/>
  <c r="K122" i="25"/>
  <c r="J122" i="25"/>
  <c r="S121" i="25"/>
  <c r="R121" i="25"/>
  <c r="Q121" i="25"/>
  <c r="P121" i="25"/>
  <c r="O121" i="25"/>
  <c r="N121" i="25"/>
  <c r="M121" i="25"/>
  <c r="L121" i="25"/>
  <c r="K121" i="25"/>
  <c r="J121" i="25"/>
  <c r="C60" i="25" a="1"/>
  <c r="C62" i="25" a="1"/>
  <c r="C64" i="25" a="1"/>
  <c r="B64" i="25" a="1"/>
  <c r="B62" i="25" a="1"/>
  <c r="B65" i="25" a="1"/>
  <c r="B60" i="25" a="1"/>
  <c r="C63" i="25" a="1"/>
  <c r="C65" i="25" a="1"/>
  <c r="B63" i="25" a="1"/>
  <c r="B62" i="25" l="1"/>
  <c r="B60" i="25"/>
  <c r="C60" i="25"/>
  <c r="B64" i="25"/>
  <c r="B65" i="25"/>
  <c r="B63" i="25"/>
  <c r="C65" i="25"/>
  <c r="C62" i="25"/>
  <c r="C63" i="25"/>
  <c r="C64" i="25"/>
  <c r="C58" i="25" a="1"/>
  <c r="B59" i="25" a="1"/>
  <c r="C68" i="25" l="1"/>
  <c r="C58" i="25"/>
  <c r="B59" i="25"/>
  <c r="C59" i="25" a="1"/>
  <c r="B66" i="25"/>
  <c r="C59" i="25" l="1"/>
  <c r="B57" i="25" l="1"/>
  <c r="C57" i="25" s="1"/>
  <c r="B3" i="25" s="1" a="1"/>
  <c r="B3" i="2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<sst xmlns="http://schemas.openxmlformats.org/spreadsheetml/2006/main" count="5274" uniqueCount="1145">
  <si>
    <t>優先確保資源対応（拠点シート、Form1-1)</t>
    <rPh sb="0" eb="2">
      <t>ユウセン</t>
    </rPh>
    <rPh sb="2" eb="4">
      <t>カクホ</t>
    </rPh>
    <rPh sb="4" eb="6">
      <t>シゲン</t>
    </rPh>
    <rPh sb="6" eb="8">
      <t>タイオウ</t>
    </rPh>
    <rPh sb="9" eb="11">
      <t>キョテン</t>
    </rPh>
    <phoneticPr fontId="1"/>
  </si>
  <si>
    <t>・拠点シート（除,mdx)：優先確保HPCI資源小計（行6）追加、</t>
    <rPh sb="1" eb="3">
      <t>キョテン</t>
    </rPh>
    <rPh sb="7" eb="8">
      <t>ノゾ</t>
    </rPh>
    <rPh sb="14" eb="16">
      <t>ユウセン</t>
    </rPh>
    <rPh sb="16" eb="18">
      <t>カクホ</t>
    </rPh>
    <rPh sb="22" eb="24">
      <t>シゲン</t>
    </rPh>
    <rPh sb="24" eb="26">
      <t>ショウケイ</t>
    </rPh>
    <rPh sb="27" eb="28">
      <t>ギョウ</t>
    </rPh>
    <rPh sb="30" eb="32">
      <t>ツイカ</t>
    </rPh>
    <phoneticPr fontId="1"/>
  </si>
  <si>
    <t>各資源毎の申請欄に、優先確保資源指定・優先確保資源利用料の行を追加</t>
    <rPh sb="0" eb="4">
      <t>カクシゲンゴト</t>
    </rPh>
    <rPh sb="5" eb="8">
      <t>シンセイラン</t>
    </rPh>
    <rPh sb="10" eb="14">
      <t>ユウセンカクホ</t>
    </rPh>
    <rPh sb="14" eb="16">
      <t>シゲン</t>
    </rPh>
    <rPh sb="16" eb="18">
      <t>シテイ</t>
    </rPh>
    <rPh sb="29" eb="30">
      <t>ギョウ</t>
    </rPh>
    <rPh sb="31" eb="33">
      <t>ツイカ</t>
    </rPh>
    <phoneticPr fontId="1"/>
  </si>
  <si>
    <t>北大アカウント費用は優先確保固定とする。</t>
    <rPh sb="0" eb="2">
      <t>ホクダイ</t>
    </rPh>
    <rPh sb="7" eb="9">
      <t>ヒヨウ</t>
    </rPh>
    <rPh sb="14" eb="16">
      <t>コテイ</t>
    </rPh>
    <phoneticPr fontId="1"/>
  </si>
  <si>
    <t>・Form1-1：</t>
    <phoneticPr fontId="1"/>
  </si>
  <si>
    <t>・負担金欄の拠点シート参照式の変更</t>
    <rPh sb="1" eb="4">
      <t>フタンキン</t>
    </rPh>
    <rPh sb="4" eb="5">
      <t>ラン</t>
    </rPh>
    <rPh sb="6" eb="8">
      <t>キョテン</t>
    </rPh>
    <rPh sb="11" eb="13">
      <t>サンショウ</t>
    </rPh>
    <rPh sb="13" eb="14">
      <t>シキ</t>
    </rPh>
    <rPh sb="15" eb="17">
      <t>ヘンコウ</t>
    </rPh>
    <phoneticPr fontId="1"/>
  </si>
  <si>
    <t>・優先確保資源利用率チェック欄の追加</t>
    <rPh sb="5" eb="7">
      <t>シゲン</t>
    </rPh>
    <rPh sb="7" eb="10">
      <t>リヨウリツ</t>
    </rPh>
    <rPh sb="14" eb="15">
      <t>ラン</t>
    </rPh>
    <rPh sb="16" eb="18">
      <t>ツイカ</t>
    </rPh>
    <phoneticPr fontId="1"/>
  </si>
  <si>
    <t>整数入力必須化（拠点シート）</t>
    <rPh sb="0" eb="4">
      <t>セイスウニュウリョク</t>
    </rPh>
    <rPh sb="4" eb="7">
      <t>ヒッスカ</t>
    </rPh>
    <rPh sb="8" eb="10">
      <t>キョテン</t>
    </rPh>
    <phoneticPr fontId="1"/>
  </si>
  <si>
    <t>・北大～名大拠点シート：入力規則にて整数（0以上）</t>
    <rPh sb="1" eb="3">
      <t>ホクダイ</t>
    </rPh>
    <rPh sb="4" eb="6">
      <t>メイダイ</t>
    </rPh>
    <rPh sb="6" eb="8">
      <t>キョテン</t>
    </rPh>
    <rPh sb="12" eb="16">
      <t>ニュウリョクキソク</t>
    </rPh>
    <rPh sb="18" eb="20">
      <t>セイスウ</t>
    </rPh>
    <rPh sb="22" eb="24">
      <t>イジョウ</t>
    </rPh>
    <phoneticPr fontId="1"/>
  </si>
  <si>
    <t>・京大拠点シート：D15/D16：入力規則にて整数（0以上）、</t>
    <rPh sb="1" eb="3">
      <t>キョウダイ</t>
    </rPh>
    <rPh sb="3" eb="5">
      <t>キョテン</t>
    </rPh>
    <phoneticPr fontId="1"/>
  </si>
  <si>
    <t>D23/D27/D31（入力規則が機能しないので）エラーメッセージの出力設定</t>
    <rPh sb="12" eb="14">
      <t>ニュウリョク</t>
    </rPh>
    <rPh sb="14" eb="16">
      <t>キソク</t>
    </rPh>
    <rPh sb="17" eb="19">
      <t>キノウ</t>
    </rPh>
    <rPh sb="34" eb="36">
      <t>シュツリョク</t>
    </rPh>
    <rPh sb="36" eb="38">
      <t>セッテイ</t>
    </rPh>
    <phoneticPr fontId="1"/>
  </si>
  <si>
    <t>・阪大：OCTOPUS/SQUID：小数点以下２桁表示なので修正せず</t>
    <rPh sb="1" eb="3">
      <t>ハンダイ</t>
    </rPh>
    <rPh sb="18" eb="23">
      <t>ショウスウテンイカ</t>
    </rPh>
    <rPh sb="24" eb="25">
      <t>ケタ</t>
    </rPh>
    <rPh sb="25" eb="27">
      <t>ヒョウジ</t>
    </rPh>
    <rPh sb="30" eb="32">
      <t>シュウセイ</t>
    </rPh>
    <phoneticPr fontId="1"/>
  </si>
  <si>
    <t>ONION：（OCTOPUS/SQUIDと同様に）小数点以下２桁表示に変更</t>
    <rPh sb="21" eb="23">
      <t>ドウヨウ</t>
    </rPh>
    <rPh sb="25" eb="30">
      <t>ショウスウテンイカ</t>
    </rPh>
    <rPh sb="31" eb="32">
      <t>ケタ</t>
    </rPh>
    <rPh sb="32" eb="34">
      <t>ヒョウジ</t>
    </rPh>
    <rPh sb="35" eb="37">
      <t>ヘンコウ</t>
    </rPh>
    <phoneticPr fontId="1"/>
  </si>
  <si>
    <t>・九大：（プルダウンなので）修正せず。（D16は入力規則修正）</t>
    <rPh sb="1" eb="3">
      <t>キュウダイ</t>
    </rPh>
    <rPh sb="14" eb="16">
      <t>シュウセイ</t>
    </rPh>
    <rPh sb="24" eb="28">
      <t>ニュウリョクキソク</t>
    </rPh>
    <rPh sb="28" eb="30">
      <t>シュウセイ</t>
    </rPh>
    <phoneticPr fontId="1"/>
  </si>
  <si>
    <t>計算機利用削除（Form1-2)</t>
    <rPh sb="0" eb="5">
      <t>ケイサンキリヨウ</t>
    </rPh>
    <rPh sb="5" eb="7">
      <t>サクジョ</t>
    </rPh>
    <phoneticPr fontId="1"/>
  </si>
  <si>
    <t>・計算機利用欄削除</t>
    <rPh sb="1" eb="4">
      <t>ケイサンキ</t>
    </rPh>
    <rPh sb="4" eb="7">
      <t>リヨウラン</t>
    </rPh>
    <rPh sb="7" eb="9">
      <t>サクジョ</t>
    </rPh>
    <phoneticPr fontId="1"/>
  </si>
  <si>
    <t>・北大計算機利用欄の入力規則、入力リスト変更</t>
    <rPh sb="1" eb="6">
      <t>ホクダイケイサンキ</t>
    </rPh>
    <rPh sb="6" eb="9">
      <t>リヨウラン</t>
    </rPh>
    <rPh sb="10" eb="12">
      <t>ニュウリョク</t>
    </rPh>
    <rPh sb="12" eb="14">
      <t>キソク</t>
    </rPh>
    <rPh sb="15" eb="17">
      <t>ニュウリョク</t>
    </rPh>
    <rPh sb="20" eb="22">
      <t>ヘンコウ</t>
    </rPh>
    <phoneticPr fontId="1"/>
  </si>
  <si>
    <t>研究者行追加（Form1-2)</t>
    <rPh sb="0" eb="3">
      <t>ケンキュウシャ</t>
    </rPh>
    <rPh sb="3" eb="4">
      <t>ギョウ</t>
    </rPh>
    <rPh sb="4" eb="6">
      <t>ツイカ</t>
    </rPh>
    <phoneticPr fontId="1"/>
  </si>
  <si>
    <t>・研究者行追加（46名）</t>
    <rPh sb="1" eb="4">
      <t>ケンキュウシャ</t>
    </rPh>
    <rPh sb="4" eb="5">
      <t>ギョウ</t>
    </rPh>
    <rPh sb="5" eb="7">
      <t>ツイカ</t>
    </rPh>
    <rPh sb="10" eb="11">
      <t>メイ</t>
    </rPh>
    <phoneticPr fontId="1"/>
  </si>
  <si>
    <t>（1ページ最大行まで追加して46名とする。2023応募時の最大研究者数は41）</t>
    <rPh sb="5" eb="8">
      <t>サイダイギョウ</t>
    </rPh>
    <rPh sb="10" eb="12">
      <t>ツイカ</t>
    </rPh>
    <rPh sb="16" eb="17">
      <t>メイ</t>
    </rPh>
    <rPh sb="25" eb="27">
      <t>オウボ</t>
    </rPh>
    <rPh sb="27" eb="28">
      <t>ジ</t>
    </rPh>
    <rPh sb="29" eb="31">
      <t>サイダイ</t>
    </rPh>
    <rPh sb="31" eb="34">
      <t>ケンキュウシャ</t>
    </rPh>
    <rPh sb="34" eb="35">
      <t>スウ</t>
    </rPh>
    <phoneticPr fontId="1"/>
  </si>
  <si>
    <t>北大利用者数チェック（北大拠点シート）</t>
    <rPh sb="0" eb="2">
      <t>ホクダイ</t>
    </rPh>
    <rPh sb="2" eb="5">
      <t>リヨウシャ</t>
    </rPh>
    <rPh sb="5" eb="6">
      <t>スウ</t>
    </rPh>
    <rPh sb="11" eb="13">
      <t>ホクダイ</t>
    </rPh>
    <rPh sb="13" eb="15">
      <t>キョテン</t>
    </rPh>
    <phoneticPr fontId="1"/>
  </si>
  <si>
    <t>・利用者登録（一般/学生）のメッセージ欄にて、Form1-2の北大利用者数との</t>
    <rPh sb="1" eb="4">
      <t>リヨウシャ</t>
    </rPh>
    <rPh sb="4" eb="6">
      <t>トウロク</t>
    </rPh>
    <rPh sb="7" eb="9">
      <t>イッパン</t>
    </rPh>
    <rPh sb="10" eb="12">
      <t>ガクセイ</t>
    </rPh>
    <rPh sb="19" eb="20">
      <t>ラン</t>
    </rPh>
    <rPh sb="31" eb="33">
      <t>ホクダイ</t>
    </rPh>
    <rPh sb="33" eb="37">
      <t>リヨウシャスウ</t>
    </rPh>
    <phoneticPr fontId="1"/>
  </si>
  <si>
    <t>整合性をチェック。不整合時は上部にエラーメッセージ出力。</t>
    <rPh sb="0" eb="3">
      <t>セイゴウセイ</t>
    </rPh>
    <rPh sb="9" eb="13">
      <t>フセイゴウジ</t>
    </rPh>
    <rPh sb="14" eb="16">
      <t>ジョウブ</t>
    </rPh>
    <rPh sb="25" eb="27">
      <t>シュツリョク</t>
    </rPh>
    <phoneticPr fontId="1"/>
  </si>
  <si>
    <t>所属のリスト入力と共同研究拠点の自動設定（Form1-1、Form1-2)</t>
    <rPh sb="0" eb="2">
      <t>ショゾク</t>
    </rPh>
    <rPh sb="6" eb="8">
      <t>ニュウリョク</t>
    </rPh>
    <rPh sb="9" eb="15">
      <t>キョウドウケンキュウキョテン</t>
    </rPh>
    <rPh sb="16" eb="20">
      <t>ジドウセッテイ</t>
    </rPh>
    <phoneticPr fontId="1"/>
  </si>
  <si>
    <t>・Form1-2：所属の入力を、リスト（または自由）入力とする</t>
    <rPh sb="9" eb="11">
      <t>ショゾク</t>
    </rPh>
    <rPh sb="12" eb="14">
      <t>ニュウリョク</t>
    </rPh>
    <rPh sb="23" eb="25">
      <t>ジユウ</t>
    </rPh>
    <rPh sb="26" eb="28">
      <t>ニュウリョク</t>
    </rPh>
    <phoneticPr fontId="1"/>
  </si>
  <si>
    <t>・Form1-1：上記参照による自動設定（入力不可領域に変更）</t>
    <rPh sb="9" eb="11">
      <t>ジョウキ</t>
    </rPh>
    <rPh sb="11" eb="13">
      <t>サンショウ</t>
    </rPh>
    <rPh sb="16" eb="20">
      <t>ジドウセッテイ</t>
    </rPh>
    <rPh sb="21" eb="25">
      <t>ニュウリョクフカ</t>
    </rPh>
    <rPh sb="25" eb="27">
      <t>リョウイキ</t>
    </rPh>
    <rPh sb="28" eb="30">
      <t>ヘンコウ</t>
    </rPh>
    <phoneticPr fontId="1"/>
  </si>
  <si>
    <t>課題名（英文）欄の高さ自動調節（Form1-1)</t>
    <rPh sb="0" eb="3">
      <t>カダイメイ</t>
    </rPh>
    <phoneticPr fontId="1"/>
  </si>
  <si>
    <t>研究者情報必須欄の明確化（Form1-2)</t>
    <rPh sb="0" eb="3">
      <t>ケンキュウシャ</t>
    </rPh>
    <rPh sb="3" eb="5">
      <t>ジョウホウ</t>
    </rPh>
    <rPh sb="5" eb="8">
      <t>ヒッスラン</t>
    </rPh>
    <rPh sb="9" eb="12">
      <t>メイカクカ</t>
    </rPh>
    <phoneticPr fontId="1"/>
  </si>
  <si>
    <t>・G/K/M列が入力必須である旨を注記し、入力漏れの際はエラーメッセージ表示</t>
    <rPh sb="6" eb="7">
      <t>レツ</t>
    </rPh>
    <rPh sb="8" eb="10">
      <t>ニュウリョク</t>
    </rPh>
    <rPh sb="10" eb="12">
      <t>ヒッス</t>
    </rPh>
    <rPh sb="15" eb="16">
      <t>ムネ</t>
    </rPh>
    <rPh sb="17" eb="19">
      <t>チュウキ</t>
    </rPh>
    <phoneticPr fontId="1"/>
  </si>
  <si>
    <t>・L列の表記、関連Note修正</t>
    <rPh sb="2" eb="3">
      <t>レツ</t>
    </rPh>
    <rPh sb="4" eb="6">
      <t>ヒョウキ</t>
    </rPh>
    <rPh sb="7" eb="9">
      <t>カンレン</t>
    </rPh>
    <rPh sb="13" eb="15">
      <t>シュウセイ</t>
    </rPh>
    <phoneticPr fontId="1"/>
  </si>
  <si>
    <t>・性別、国名の初期値変更</t>
    <rPh sb="1" eb="3">
      <t>セイベツ</t>
    </rPh>
    <rPh sb="4" eb="6">
      <t>コクメイ</t>
    </rPh>
    <rPh sb="7" eb="10">
      <t>ショキチ</t>
    </rPh>
    <rPh sb="10" eb="12">
      <t>ヘンコウ</t>
    </rPh>
    <phoneticPr fontId="1"/>
  </si>
  <si>
    <t>Revision History</t>
  </si>
  <si>
    <r>
      <rPr>
        <sz val="12"/>
        <color rgb="FF000000"/>
        <rFont val="Yu Gothic"/>
        <family val="3"/>
        <charset val="128"/>
      </rPr>
      <t>・</t>
    </r>
    <r>
      <rPr>
        <sz val="12"/>
        <color rgb="FF000000"/>
        <rFont val="Century"/>
        <family val="1"/>
      </rPr>
      <t>Version 1.0 2025/12/</t>
    </r>
    <r>
      <rPr>
        <sz val="12"/>
        <color rgb="FF000000"/>
        <rFont val="Century"/>
        <family val="3"/>
      </rPr>
      <t>10</t>
    </r>
    <phoneticPr fontId="1"/>
  </si>
  <si>
    <t>・初版</t>
  </si>
  <si>
    <t xml:space="preserve"> </t>
    <phoneticPr fontId="1"/>
  </si>
  <si>
    <t>2026年度 学際大規模情報基盤共同利用・共同研究拠点公募型共同研究</t>
    <phoneticPr fontId="1"/>
  </si>
  <si>
    <t>2025.12.10版</t>
    <rPh sb="10" eb="11">
      <t>バン</t>
    </rPh>
    <phoneticPr fontId="1"/>
  </si>
  <si>
    <t>課題申込書（2）（課題情報）</t>
    <rPh sb="9" eb="11">
      <t>カダイ</t>
    </rPh>
    <rPh sb="11" eb="13">
      <t>ジョウホウ</t>
    </rPh>
    <phoneticPr fontId="1"/>
  </si>
  <si>
    <t>Projectシート、Researcherシート、および資源を利用する拠点について以下の資源入力シートを選択して入力ください。
・Hokkaido、Tohoku、Tokyo、Science_Tokyo、Nagoya、Kyoto、Osaka、Kyushu、mdx</t>
    <rPh sb="28" eb="30">
      <t>シゲン</t>
    </rPh>
    <rPh sb="35" eb="37">
      <t>キョテン</t>
    </rPh>
    <rPh sb="41" eb="43">
      <t>イカ</t>
    </rPh>
    <rPh sb="44" eb="48">
      <t>シゲンニュウリョク</t>
    </rPh>
    <rPh sb="52" eb="54">
      <t>センタク</t>
    </rPh>
    <phoneticPr fontId="1"/>
  </si>
  <si>
    <t>【Projectシート Note】</t>
    <phoneticPr fontId="1"/>
  </si>
  <si>
    <r>
      <rPr>
        <b/>
        <sz val="11"/>
        <rFont val="游ゴシック"/>
        <family val="3"/>
        <charset val="128"/>
      </rPr>
      <t>●NHR の研究者を副代表者とする国際共同研究課題については、課題種別において「国際共同研究課題(NHR)」を選択ください。それ以外の国際共同研究課題については「国際共同研究課題(非NHR)」を選択ください。</t>
    </r>
    <r>
      <rPr>
        <sz val="11"/>
        <rFont val="游ゴシック"/>
        <family val="3"/>
        <charset val="128"/>
      </rPr>
      <t xml:space="preserve">
●連絡責任者情報には、課題申込みについての問い合わせに応じられる課題代表者以外の事務連絡責任者を記入してください。代表者と同じ内容のメールが届きます。
</t>
    </r>
    <r>
      <rPr>
        <b/>
        <sz val="11"/>
        <rFont val="游ゴシック"/>
        <family val="3"/>
        <charset val="128"/>
      </rPr>
      <t xml:space="preserve">●優先確保HPCI資源の利用料合計が全HPCI資源の合計の50％を超える場合は、審査結果によっては、優先確保以外の資源が全く利用できなくなる場合や、さらに優先確保資源も削減される場合があります。
また、審査結果に応じた費用削減の全体量は、優先確保資源の指定有無に全く関係しません。優先確保資源の指定がある場合は、非優先確保資源が（優先確保資源の指定がない場合よりも）より多く削減されることになります。例えば、全ての資源に優先確保資源の指定をされた場合は、指定をしない場合と全く同じ割当となります。
</t>
    </r>
    <r>
      <rPr>
        <sz val="11"/>
        <rFont val="游ゴシック"/>
        <family val="3"/>
        <charset val="128"/>
      </rPr>
      <t xml:space="preserve">●本申込でご記入いただいた個人情報につきましては，研究課題審査とシステム利用の目的にのみ利用いたしますが，課題採択後には募集要項の「10.留意事項」に沿って，所定の情報を公表させていただきます。
●Researcherシートは当該項目に記載の範囲で様式変更が可能ですが，Projectシートは変更できません。
</t>
    </r>
    <r>
      <rPr>
        <b/>
        <sz val="11"/>
        <rFont val="游ゴシック"/>
        <family val="3"/>
        <charset val="128"/>
      </rPr>
      <t>●拠点計算機利用のための登録情報について、HPCI申請画面の内容と本申込書２の内容に齟齬があった場合は、HPCI申請画面を優先いたします。</t>
    </r>
    <rPh sb="31" eb="35">
      <t>カダイシュベツ</t>
    </rPh>
    <rPh sb="55" eb="57">
      <t>センタク</t>
    </rPh>
    <rPh sb="64" eb="66">
      <t>イガイ</t>
    </rPh>
    <rPh sb="67" eb="75">
      <t>コクサイキョウドウケンキュウカダイ</t>
    </rPh>
    <rPh sb="97" eb="99">
      <t>センタク</t>
    </rPh>
    <rPh sb="137" eb="142">
      <t>カダイダイヒョウシャ</t>
    </rPh>
    <rPh sb="142" eb="144">
      <t>イガイ</t>
    </rPh>
    <rPh sb="199" eb="200">
      <t>ゼン</t>
    </rPh>
    <rPh sb="295" eb="297">
      <t>ゼンタイ</t>
    </rPh>
    <phoneticPr fontId="1"/>
  </si>
  <si>
    <t>【Researcherシート Note】</t>
    <phoneticPr fontId="1"/>
  </si>
  <si>
    <r>
      <rPr>
        <sz val="11"/>
        <color rgb="FF000000"/>
        <rFont val="Wingdings"/>
        <charset val="2"/>
      </rPr>
      <t></t>
    </r>
    <r>
      <rPr>
        <sz val="11"/>
        <color rgb="FF000000"/>
        <rFont val="Calibri"/>
        <family val="2"/>
      </rPr>
      <t>(*1)</t>
    </r>
    <r>
      <rPr>
        <sz val="11"/>
        <color rgb="FF000000"/>
        <rFont val="游ゴシック"/>
        <family val="3"/>
        <charset val="128"/>
      </rPr>
      <t>外国為替及びおよび外国貿易法（外為法）における非居住者及び「特定類型」に該当する居住者</t>
    </r>
    <r>
      <rPr>
        <sz val="11"/>
        <color rgb="FF000000"/>
        <rFont val="Calibri"/>
        <family val="2"/>
      </rPr>
      <t>(</t>
    </r>
    <r>
      <rPr>
        <sz val="11"/>
        <color rgb="FF000000"/>
        <rFont val="游ゴシック"/>
        <family val="3"/>
        <charset val="128"/>
      </rPr>
      <t>参考</t>
    </r>
    <r>
      <rPr>
        <sz val="11"/>
        <color rgb="FF000000"/>
        <rFont val="Calibri"/>
        <family val="2"/>
      </rPr>
      <t xml:space="preserve"> </t>
    </r>
    <r>
      <rPr>
        <sz val="11"/>
        <color rgb="FF000000"/>
        <rFont val="游ゴシック"/>
        <family val="3"/>
        <charset val="128"/>
      </rPr>
      <t>経済産業省「みなし輸出」管理の明確化について」の</t>
    </r>
    <r>
      <rPr>
        <sz val="11"/>
        <color rgb="FF000000"/>
        <rFont val="Calibri"/>
        <family val="2"/>
      </rPr>
      <t xml:space="preserve">5 </t>
    </r>
    <r>
      <rPr>
        <sz val="11"/>
        <color rgb="FF000000"/>
        <rFont val="游ゴシック"/>
        <family val="3"/>
        <charset val="128"/>
      </rPr>
      <t>ページ目以降</t>
    </r>
    <r>
      <rPr>
        <sz val="11"/>
        <color rgb="FF000000"/>
        <rFont val="Calibri"/>
        <family val="2"/>
      </rPr>
      <t>)</t>
    </r>
    <r>
      <rPr>
        <sz val="11"/>
        <color rgb="FF000000"/>
        <rFont val="游ゴシック"/>
        <family val="3"/>
        <charset val="128"/>
      </rPr>
      <t>が計算機を利用する場合には、利用する計算機を運用している構成拠点（</t>
    </r>
    <r>
      <rPr>
        <sz val="11"/>
        <color rgb="FF000000"/>
        <rFont val="Calibri"/>
        <family val="2"/>
      </rPr>
      <t xml:space="preserve">mdx </t>
    </r>
    <r>
      <rPr>
        <sz val="11"/>
        <color rgb="FF000000"/>
        <rFont val="游ゴシック"/>
        <family val="3"/>
        <charset val="128"/>
      </rPr>
      <t xml:space="preserve">についてはいずれの構成拠点でも可）に所属する研究者が研究グループに共同研究者として参加する必要があります。
</t>
    </r>
    <r>
      <rPr>
        <sz val="11"/>
        <color rgb="FF000000"/>
        <rFont val="Wingdings"/>
        <charset val="2"/>
      </rPr>
      <t></t>
    </r>
    <r>
      <rPr>
        <sz val="11"/>
        <color rgb="FF000000"/>
        <rFont val="Calibri"/>
        <family val="2"/>
      </rPr>
      <t>(*2)</t>
    </r>
    <r>
      <rPr>
        <sz val="11"/>
        <color rgb="FF000000"/>
        <rFont val="游ゴシック"/>
        <family val="3"/>
        <charset val="128"/>
      </rPr>
      <t>統計調査のため，課題終了時点で</t>
    </r>
    <r>
      <rPr>
        <sz val="11"/>
        <color rgb="FF000000"/>
        <rFont val="Calibri"/>
        <family val="2"/>
      </rPr>
      <t>35</t>
    </r>
    <r>
      <rPr>
        <sz val="11"/>
        <color rgb="FF000000"/>
        <rFont val="游ゴシック"/>
        <family val="3"/>
        <charset val="128"/>
      </rPr>
      <t>歳以下または</t>
    </r>
    <r>
      <rPr>
        <sz val="11"/>
        <color rgb="FF000000"/>
        <rFont val="Calibri"/>
        <family val="2"/>
      </rPr>
      <t>36</t>
    </r>
    <r>
      <rPr>
        <sz val="11"/>
        <color rgb="FF000000"/>
        <rFont val="游ゴシック"/>
        <family val="3"/>
        <charset val="128"/>
      </rPr>
      <t>歳～</t>
    </r>
    <r>
      <rPr>
        <sz val="11"/>
        <color rgb="FF000000"/>
        <rFont val="Calibri"/>
        <family val="2"/>
      </rPr>
      <t>39</t>
    </r>
    <r>
      <rPr>
        <sz val="11"/>
        <color rgb="FF000000"/>
        <rFont val="游ゴシック"/>
        <family val="3"/>
        <charset val="128"/>
      </rPr>
      <t xml:space="preserve">歳の方は，「若手」欄にて、該当する選択肢を選択してください。ご協力をお願いします。
</t>
    </r>
    <r>
      <rPr>
        <b/>
        <sz val="11"/>
        <color rgb="FF000000"/>
        <rFont val="Wingdings"/>
        <charset val="2"/>
      </rPr>
      <t></t>
    </r>
    <r>
      <rPr>
        <b/>
        <sz val="11"/>
        <color rgb="FF000000"/>
        <rFont val="Calibri"/>
        <family val="2"/>
      </rPr>
      <t>(*3)</t>
    </r>
    <r>
      <rPr>
        <b/>
        <sz val="11"/>
        <color rgb="FF000000"/>
        <rFont val="游ゴシック"/>
        <family val="3"/>
        <charset val="128"/>
      </rPr>
      <t xml:space="preserve">本項目は文科省への報告書における統計調査にのみ使用し、採否には一切関係しません。性別の開示に不都合のある場合は「回答しない」を選択ください。
</t>
    </r>
    <r>
      <rPr>
        <sz val="11"/>
        <color rgb="FF000000"/>
        <rFont val="Wingdings"/>
        <charset val="2"/>
      </rPr>
      <t></t>
    </r>
    <r>
      <rPr>
        <sz val="11"/>
        <color rgb="FF000000"/>
        <rFont val="Calibri"/>
        <family val="2"/>
      </rPr>
      <t>(*4)</t>
    </r>
    <r>
      <rPr>
        <sz val="11"/>
        <color rgb="FF000000"/>
        <rFont val="游ゴシック"/>
        <family val="3"/>
        <charset val="128"/>
      </rPr>
      <t xml:space="preserve">共同研究者が学生の場合は、「大学院生」または「学部学生等」を選択してください。
大学（短期大学、大学院を含む）の学生の他に、高等専門学校の学生、大学または大学院に相当する水準の教育を行っていると大学改革支援・学位授与機構が認定した大学校の学生も共同研究者に含むことができます。なお、共同研究者として学生は認められますが、課題代表者・副代表者にはなれませんので、「研究者の種類」として「副代表者」を選択した場合は、「大学院生」または「学部学生等」は選択できません。
</t>
    </r>
    <r>
      <rPr>
        <sz val="11"/>
        <color rgb="FF000000"/>
        <rFont val="Wingdings"/>
        <charset val="2"/>
      </rPr>
      <t></t>
    </r>
    <r>
      <rPr>
        <sz val="11"/>
        <color rgb="FF000000"/>
        <rFont val="Calibri"/>
        <family val="2"/>
      </rPr>
      <t>(*5)</t>
    </r>
    <r>
      <rPr>
        <sz val="11"/>
        <color rgb="FF000000"/>
        <rFont val="游ゴシック"/>
        <family val="3"/>
        <charset val="128"/>
      </rPr>
      <t xml:space="preserve">「研究者番号」をお持ちでない方、学生については「なし」と入力してください。なお、「研究者番号」をお持ちでない方については課題採択後に研究倫理教育の受講証明の提出を求めます（学生を除く）。
</t>
    </r>
    <r>
      <rPr>
        <sz val="11"/>
        <color rgb="FF000000"/>
        <rFont val="Wingdings"/>
        <charset val="2"/>
      </rPr>
      <t></t>
    </r>
    <r>
      <rPr>
        <sz val="11"/>
        <color rgb="FF000000"/>
        <rFont val="Calibri"/>
        <family val="2"/>
      </rPr>
      <t>(*6)</t>
    </r>
    <r>
      <rPr>
        <sz val="11"/>
        <color rgb="FF000000"/>
        <rFont val="游ゴシック"/>
        <family val="3"/>
        <charset val="128"/>
      </rPr>
      <t xml:space="preserve">「研究分野コード」は下記の審査区分表内の「５桁」の数字を記載ください。
</t>
    </r>
    <r>
      <rPr>
        <sz val="11"/>
        <color rgb="FF000000"/>
        <rFont val="Calibri"/>
        <family val="2"/>
      </rPr>
      <t xml:space="preserve">https://www-kaken.jsps.go.jp/kaken1/daichukubunList.do
</t>
    </r>
    <r>
      <rPr>
        <b/>
        <sz val="11"/>
        <color rgb="FF000000"/>
        <rFont val="Wingdings"/>
        <charset val="2"/>
      </rPr>
      <t></t>
    </r>
    <r>
      <rPr>
        <b/>
        <sz val="11"/>
        <color rgb="FF000000"/>
        <rFont val="游ゴシック"/>
        <family val="3"/>
        <charset val="128"/>
      </rPr>
      <t xml:space="preserve">本様式で全研究者を記載するためには行が不足する場合，適宜，既存の行を複写して追記してください。
</t>
    </r>
    <r>
      <rPr>
        <b/>
        <sz val="11"/>
        <color rgb="FF000000"/>
        <rFont val="Segoe UI Symbol"/>
        <family val="3"/>
      </rPr>
      <t>●</t>
    </r>
    <r>
      <rPr>
        <b/>
        <sz val="11"/>
        <color rgb="FF000000"/>
        <rFont val="游ゴシック"/>
        <family val="3"/>
        <charset val="128"/>
      </rPr>
      <t>拠点計算機利用のための登録情報について、</t>
    </r>
    <r>
      <rPr>
        <b/>
        <sz val="11"/>
        <color rgb="FF000000"/>
        <rFont val="Calibri"/>
        <family val="3"/>
      </rPr>
      <t>HPCI</t>
    </r>
    <r>
      <rPr>
        <b/>
        <sz val="11"/>
        <color rgb="FF000000"/>
        <rFont val="游ゴシック"/>
        <family val="3"/>
        <charset val="128"/>
      </rPr>
      <t>申請画面の内容と本申込書２の内容に齟齬があった場合は、</t>
    </r>
    <r>
      <rPr>
        <b/>
        <sz val="11"/>
        <color rgb="FF000000"/>
        <rFont val="Calibri"/>
        <family val="3"/>
      </rPr>
      <t>HPCI</t>
    </r>
    <r>
      <rPr>
        <b/>
        <sz val="11"/>
        <color rgb="FF000000"/>
        <rFont val="游ゴシック"/>
        <family val="3"/>
        <charset val="128"/>
      </rPr>
      <t>申請画面を優先いたします。</t>
    </r>
    <phoneticPr fontId="1"/>
  </si>
  <si>
    <t>2026年度 学際大規模情報基盤共同利用・共同研究拠点公募型共同研究 / FY 2026 JHPCN Joint Research</t>
    <phoneticPr fontId="1"/>
  </si>
  <si>
    <t>→ E列より右は非表示の想定</t>
    <rPh sb="3" eb="4">
      <t>レツ</t>
    </rPh>
    <rPh sb="6" eb="7">
      <t>ミギ</t>
    </rPh>
    <rPh sb="8" eb="11">
      <t>ヒヒョウジ</t>
    </rPh>
    <rPh sb="12" eb="14">
      <t>ソウテイ</t>
    </rPh>
    <phoneticPr fontId="1"/>
  </si>
  <si>
    <t>課題申込書（2）（課題情報）/ Application form 2 (Project information)</t>
    <phoneticPr fontId="1"/>
  </si>
  <si>
    <t>【Project sheet】黄色セルに記入・選択ください/ Please input or select yellow cells</t>
    <phoneticPr fontId="1"/>
  </si>
  <si>
    <t>ー</t>
    <phoneticPr fontId="1"/>
  </si>
  <si>
    <t>記入に当たっては、シート「Note」「Project(Sample-J/E)」を参照ください。/Please refer to sheet "Note"and"Project(Sample-J/E)" when filling out this sheet.</t>
    <phoneticPr fontId="1"/>
  </si>
  <si>
    <t>○</t>
    <phoneticPr fontId="1"/>
  </si>
  <si>
    <t xml:space="preserve">研究課題名（和文）/Research Project Title (Japanese, not mandatory) </t>
    <phoneticPr fontId="1"/>
  </si>
  <si>
    <r>
      <t xml:space="preserve">研究課題名（英文）/Research Project Title (English, mandatory) </t>
    </r>
    <r>
      <rPr>
        <sz val="10"/>
        <color rgb="FFFF0000"/>
        <rFont val="游ゴシック"/>
        <family val="3"/>
        <charset val="128"/>
        <scheme val="minor"/>
      </rPr>
      <t>(必須/mandatory)</t>
    </r>
    <phoneticPr fontId="1"/>
  </si>
  <si>
    <r>
      <t>研究課題概要/Project Abstract</t>
    </r>
    <r>
      <rPr>
        <sz val="10"/>
        <color rgb="FFFF0000"/>
        <rFont val="游ゴシック"/>
        <family val="3"/>
        <charset val="128"/>
        <scheme val="minor"/>
      </rPr>
      <t xml:space="preserve"> (必須/mandatory)</t>
    </r>
    <rPh sb="0" eb="4">
      <t>ケンキュウカダイ</t>
    </rPh>
    <rPh sb="4" eb="6">
      <t>ガイヨウ</t>
    </rPh>
    <phoneticPr fontId="1"/>
  </si>
  <si>
    <t>200文字程度 / ~100 words</t>
  </si>
  <si>
    <r>
      <t>課題分野（計算科学/データ科学）/Theme area</t>
    </r>
    <r>
      <rPr>
        <sz val="10"/>
        <color rgb="FFFF0000"/>
        <rFont val="游ゴシック"/>
        <family val="3"/>
        <charset val="128"/>
        <scheme val="minor"/>
      </rPr>
      <t xml:space="preserve"> (必須/mandatory)</t>
    </r>
    <phoneticPr fontId="1"/>
  </si>
  <si>
    <t>大規模計算科学分野/Computational science</t>
    <phoneticPr fontId="1"/>
  </si>
  <si>
    <t>一般共同研究課題/General project</t>
  </si>
  <si>
    <r>
      <t xml:space="preserve">課題種別（一般／国際／企業）/ Type of Joint Research (General or International or Industrial) </t>
    </r>
    <r>
      <rPr>
        <sz val="10"/>
        <color rgb="FFFF0000"/>
        <rFont val="游ゴシック"/>
        <family val="3"/>
        <charset val="128"/>
        <scheme val="minor"/>
      </rPr>
      <t>(必須/mandatory)</t>
    </r>
    <rPh sb="8" eb="10">
      <t>コクサイ</t>
    </rPh>
    <phoneticPr fontId="1"/>
  </si>
  <si>
    <t>データ科学・データ利活用分野/Data science</t>
    <phoneticPr fontId="1"/>
  </si>
  <si>
    <t>国際共同研究課題(非NHR)/International project(non-NHR)</t>
    <rPh sb="9" eb="10">
      <t>ヒ</t>
    </rPh>
    <phoneticPr fontId="1"/>
  </si>
  <si>
    <t>[研究分野/Research area] 
大規模数値計算系応用分野/Very large-scale numerical computation</t>
  </si>
  <si>
    <t>ー</t>
  </si>
  <si>
    <t>HPCI資源利用課題の場合は研究分野(B11－B14セル)のいずれか１つ以上で"○"を選択ください / Please select at least one "○” in Research areas(B11-B14 cells) if HPCI resource is requested</t>
    <phoneticPr fontId="1"/>
  </si>
  <si>
    <t>国際共同研究課題(NHR)/International project(NHR)</t>
    <phoneticPr fontId="1"/>
  </si>
  <si>
    <r>
      <t>[研究分野/Research area]</t>
    </r>
    <r>
      <rPr>
        <sz val="10"/>
        <rFont val="游ゴシック"/>
        <family val="2"/>
        <charset val="128"/>
        <scheme val="minor"/>
      </rPr>
      <t xml:space="preserve">
大規模データ処理系応用分野/Very large-scale data processing</t>
    </r>
    <rPh sb="1" eb="5">
      <t>ケンキュウブンヤ</t>
    </rPh>
    <phoneticPr fontId="1"/>
  </si>
  <si>
    <t>企業共同研究課題/Industrial project/</t>
    <phoneticPr fontId="1"/>
  </si>
  <si>
    <r>
      <t xml:space="preserve">[研究分野/Research area] </t>
    </r>
    <r>
      <rPr>
        <sz val="10"/>
        <rFont val="游ゴシック"/>
        <family val="2"/>
        <charset val="128"/>
        <scheme val="minor"/>
      </rPr>
      <t xml:space="preserve">
大容量ネットワーク技術分野/</t>
    </r>
    <r>
      <rPr>
        <sz val="10"/>
        <rFont val="游ゴシック"/>
        <family val="3"/>
        <charset val="128"/>
        <scheme val="minor"/>
      </rPr>
      <t>Very large-capacity n</t>
    </r>
    <r>
      <rPr>
        <sz val="10"/>
        <rFont val="游ゴシック"/>
        <family val="2"/>
        <charset val="128"/>
        <scheme val="minor"/>
      </rPr>
      <t>etwork technology</t>
    </r>
    <rPh sb="1" eb="5">
      <t>ケンキュウブンヤ</t>
    </rPh>
    <rPh sb="23" eb="25">
      <t>ヨウリョウ</t>
    </rPh>
    <phoneticPr fontId="1"/>
  </si>
  <si>
    <r>
      <t xml:space="preserve">[研究分野/Research area] </t>
    </r>
    <r>
      <rPr>
        <sz val="10"/>
        <rFont val="游ゴシック"/>
        <family val="2"/>
        <charset val="128"/>
        <scheme val="minor"/>
      </rPr>
      <t xml:space="preserve">
大規模情報システム関連研究分野/Very large-scale information technology research systems</t>
    </r>
    <rPh sb="1" eb="5">
      <t>ケンキュウブンヤ</t>
    </rPh>
    <phoneticPr fontId="1"/>
  </si>
  <si>
    <r>
      <t xml:space="preserve">新規／継続 / New or Continued project </t>
    </r>
    <r>
      <rPr>
        <sz val="10"/>
        <color rgb="FFFF0000"/>
        <rFont val="游ゴシック"/>
        <family val="3"/>
        <charset val="128"/>
        <scheme val="minor"/>
      </rPr>
      <t>(必須/mandatory)</t>
    </r>
    <phoneticPr fontId="1"/>
  </si>
  <si>
    <r>
      <t>前年度課題IDまたは萌芽ID /Previous Year’s Project ID or Exploratory Project ID</t>
    </r>
    <r>
      <rPr>
        <sz val="10"/>
        <color rgb="FFFF0000"/>
        <rFont val="游ゴシック"/>
        <family val="3"/>
        <charset val="128"/>
        <scheme val="minor"/>
      </rPr>
      <t>（継続時は必須/mandatory for continued project)</t>
    </r>
    <rPh sb="69" eb="72">
      <t>ケイゾクジ</t>
    </rPh>
    <phoneticPr fontId="1"/>
  </si>
  <si>
    <r>
      <rPr>
        <sz val="10"/>
        <color rgb="FF000000"/>
        <rFont val="游ゴシック"/>
        <family val="3"/>
        <charset val="128"/>
        <scheme val="minor"/>
      </rPr>
      <t>情報学分野の観点（科研費中区分60・61）の審査希望区分 1/5 / Desired review section of informatics 1/5</t>
    </r>
    <r>
      <rPr>
        <sz val="10"/>
        <color rgb="FFFF0000"/>
        <rFont val="游ゴシック"/>
        <family val="3"/>
        <charset val="128"/>
        <scheme val="minor"/>
      </rPr>
      <t xml:space="preserve"> (必須/mandatory)</t>
    </r>
    <phoneticPr fontId="1"/>
  </si>
  <si>
    <t>科研費審査区分は下記を参照ください．To obtain the relationship between Japanese and English keywords of the applied field, please refer to the following file. https://www.jsps.go.jp/file/storage/grants/j-grantsinaid/03_keikaku/data/r05/R5_shinsakubunhyo_all.pdf</t>
    <phoneticPr fontId="1"/>
  </si>
  <si>
    <t>情報学分野の観点（科研費中区分60・61）の審査希望区分 2/5 / Desired review section of informatics 2/5</t>
    <phoneticPr fontId="1"/>
  </si>
  <si>
    <t>以下，科研費審査区分表．「名前」の仕様でアンダーバーが必要．</t>
    <rPh sb="0" eb="2">
      <t xml:space="preserve">イカ </t>
    </rPh>
    <rPh sb="3" eb="10">
      <t xml:space="preserve">カケンヒシンサクブン </t>
    </rPh>
    <rPh sb="10" eb="11">
      <t xml:space="preserve">ヒョウ </t>
    </rPh>
    <rPh sb="13" eb="15">
      <t xml:space="preserve">ナマエ </t>
    </rPh>
    <rPh sb="17" eb="19">
      <t xml:space="preserve">シヨウデ </t>
    </rPh>
    <rPh sb="27" eb="29">
      <t xml:space="preserve">ヒツヨウ </t>
    </rPh>
    <phoneticPr fontId="1"/>
  </si>
  <si>
    <t>情報学分野の観点（科研費中区分60・61）の審査希望区分 3/5 / Desired review section of informatics 3/5</t>
    <phoneticPr fontId="1"/>
  </si>
  <si>
    <t>中区分01_思想_芸術およびその関連分野</t>
  </si>
  <si>
    <t>01010 哲学および倫理学関連 哲学一般、倫理学一般、西洋哲学、西洋倫理学、日本哲学、日本倫理学、応用倫理学、など</t>
  </si>
  <si>
    <t>01020 中国哲学、印度哲学および仏教学関連 中国哲学思想、インド哲学思想、仏教思想、書誌学、文献学、など</t>
  </si>
  <si>
    <t>01030 宗教学関連 宗教史、宗教哲学、神学、宗教社会学、宗教心理学、宗教人類学、宗教民俗学、神話学、書誌学、文献学、など</t>
  </si>
  <si>
    <t>01040 思想史関連 思想史一般、西洋思想史、東洋思想史、日本思想史、イスラーム思想史、など</t>
  </si>
  <si>
    <t>01050 美学および芸術論関連 芸術哲学、感性論、音楽論、演劇論、各種芸術論、など</t>
  </si>
  <si>
    <t>01060 美術史関連 日本美術、東洋美術、西洋美術、現代美術、工芸、デザイン、建築、服飾、写真、など</t>
  </si>
  <si>
    <t>01070 芸術実践論関連 各種芸術表現法、アートマネジメント、芸術政策、芸術産業、など</t>
  </si>
  <si>
    <t>01080 科学社会学および科学技術史関連 科学社会学、科学史、技術史、医学史、産業考古学、科学哲学、科学基礎論、科学技術社会論、など</t>
  </si>
  <si>
    <t>90010 デザイン学関連 情報デザイン、環境デザイン、工業デザイン、空間デザイン、デザイン史、デザイン論、デザイン規格、デザイン支援、デザイン評価、デザイン教育、など</t>
  </si>
  <si>
    <t>情報学分野の観点（科研費中区分60・61）の審査希望区分 4/5 / Desired review section of informatics 4/5</t>
    <phoneticPr fontId="1"/>
  </si>
  <si>
    <t>中区分02_文学_言語学およびその関連分野</t>
  </si>
  <si>
    <t>02010 日本文学関連 日本文学一般、古代文学、中世文学、漢文学、書誌学、文献学、近世文学、近代文学、現代文学、関連文学理論、など</t>
  </si>
  <si>
    <t>02020 中国文学関連 中国文学、書誌学、文献学、関連文学理論、など</t>
  </si>
  <si>
    <t>02030 英文学および英語圏文学関連 英文学、米文学、英語圏文学、関連文学理論、書誌学、文献学、など</t>
  </si>
  <si>
    <t>02040 ヨーロッパ文学関連 仏文学、仏語圏文学、独文学、独語圏文学、西洋古典学、ロシア東欧文学、その他のヨーロッパ語系文学、関連文学理論、書誌学、文献学、など</t>
  </si>
  <si>
    <t>02050 文学一般関連 諸地域諸言語の文学、文学理論、比較文学、書誌学、文献学、文学教育、など</t>
  </si>
  <si>
    <t>02060 言語学関連 音声音韻論、意味語用論、形態統語論、社会言語学、対照言語学、心理言語学、神経言語学、通時的研究、コーパス言語学、危機言語、など</t>
  </si>
  <si>
    <t>02070 日本語学関連 音声音韻、表記、語彙と意味、文法、文体、語用論、言語生活、方言、日本語史、日本語学史、など</t>
  </si>
  <si>
    <t>02080 英語学関連 音声音韻、語彙と意味、文法、文体、語用論、社会言語学、英語の多様性、コーパス研究、英語史、英語学史、など</t>
  </si>
  <si>
    <t>02090 日本語教育関連 学習者研究、言語習得、教材開発、カリキュラム評価、目的別日本語教育、バイリンガル教育、教師研究、日本語教育のための日本語研究、日本語教育史、異文化理解、など</t>
  </si>
  <si>
    <t>情報学分野の観点（科研費中区分60・61）の審査希望区分 5/5 / Desired review section of informatics 5/5</t>
    <phoneticPr fontId="1"/>
  </si>
  <si>
    <t>中区分03_歴史学_考古学_博物館学およびその関連分野</t>
  </si>
  <si>
    <t>03010 史学一般関連 歴史理論、歴史学方法論、史料研究、記憶とメディア、世界史、交流史、比較史、グローバルヒストリー、環境史、感情史、など</t>
  </si>
  <si>
    <t>03020 日本史関連 古代史、中世史、近世史、近現代史、地方史、対外関係史、文化宗教史、環境史、都市史、史料研究、など</t>
  </si>
  <si>
    <t>03030 アジア史およびアフリカ史関連 中国史、東アジア史、中央ユーラシア史、東南アジア史、オセアニア史、南アジア史、西アジア史、アフリカ史、交流史、史料研究、など</t>
  </si>
  <si>
    <t>03040 ヨーロッパ史およびアメリカ史関連 ヨーロッパ古代史、ヨーロッパ中世史、西ヨーロッパ近現代史、東ヨーロッパ近現代史、南北アメリカ史、交流史、比較史、史料研究、など</t>
  </si>
  <si>
    <t>03050 考古学関連 考古学一般、先史学、歴史考古学、日本考古学、古代文明学、物質文化学、実験考古学、情報考古学、埋蔵文化財研究、生態考古学、など</t>
  </si>
  <si>
    <t>03060 文化財科学関連 年代測定、材質分析、製作技法、保存科学、遺跡探査、動植物遺体、人骨、文化遺産、文化財政策、文化財修復、など</t>
  </si>
  <si>
    <t>03070 博物館学関連 博物館展示、博物館経営、博物館資料、博物館資料保存、博物館教育普及、博物館情報メディア、博物館行財政、博物館史、など</t>
  </si>
  <si>
    <t xml:space="preserve">応用分野の観点の審査希望区分1/2（科研費中区分60, 61以外の小区分）/ Desired review section of applied field 1/2: </t>
    <phoneticPr fontId="1"/>
  </si>
  <si>
    <t>中区分04_地理学_文化人類学_民俗学およびその関連分野</t>
  </si>
  <si>
    <t>04010 地理学関連 地理学一般、土地利用、景観、環境システム、地形学、気候学、水文学、地図学、地理情報システム、地域計画、など</t>
  </si>
  <si>
    <t>04020 人文地理学関連 人文地理学一般、経済地理学、社会地理学、政治地理学、文化地理学、都市地理学、農村地理学、歴史地理学、地誌学、地理教育、など</t>
  </si>
  <si>
    <t>04030 文化人類学および民俗学関連 文化人類学一般、民俗学一般、物質文化、生態、社会関係、宗教、芸術、医療、越境、マイノリティー、など</t>
  </si>
  <si>
    <t>80010 地域研究関連 地域研究一般、地域間比較、援助、社会開発、地域間交流、環境、トランスナショナリズム、グローバリゼーション、難民、紛争、など</t>
  </si>
  <si>
    <t>80020 観光学関連 観光研究（ツーリズム）一般、観光資源、観光政策、観光産業、観光地、旅行者、観光文化、観光メディア、持続可能な観光、観光倫理、など</t>
  </si>
  <si>
    <t>80030 ジェンダー関連 ジェンダー研究一般、フェミニズム、男性学、セクシュアリティ、クィアスタディーズ、労働、暴力、売買春、生殖医療、男女共同参画、など</t>
  </si>
  <si>
    <t xml:space="preserve">応用分野の観点の審査希望区分2/2（科研費中区分60, 61以外の小区分）/ Desired review section of applied field 2/2: </t>
    <phoneticPr fontId="1"/>
  </si>
  <si>
    <t>中区分05_法学およびその関連分野</t>
  </si>
  <si>
    <t>05010 基礎法学関連 法哲学・法理学、ローマ法、法制史、法社会学、比較法、外国法、法政策学、法と経済、司法制度論、など</t>
  </si>
  <si>
    <t>05020 公法学関連 憲法、行政法、租税法、など</t>
  </si>
  <si>
    <t>05030 国際法学関連 国際公法、国際私法、国際人権法、国際経済法、ＥＵ法、など</t>
  </si>
  <si>
    <t>05040 社会法学関連 労働法、経済法、社会保障法、教育法、など</t>
  </si>
  <si>
    <t>05050 刑事法学関連 刑法、刑事訴訟法、犯罪学、刑事政策、少年法、法と心理、など</t>
  </si>
  <si>
    <t>05060 民事法学関連 民法、商法、民事訴訟法、倒産法、紛争処理法制、など</t>
  </si>
  <si>
    <t>05070 新領域法学関連 環境法、医事法、情報法、消費者法、知的財産法、法とジェンダー、法曹論、など</t>
  </si>
  <si>
    <t>中区分06_政治学およびその関連分野</t>
  </si>
  <si>
    <t>06010 政治学関連 政治理論、政治思想史、政治史、政治過程論、政治参加、政治経済学、行政学、地方自治、比較政治、公共政策、など</t>
  </si>
  <si>
    <t>06020 国際関係論関連 国際関係理論、国際関係史、対外政策論、安全保障論、国際政治経済論、グローバルガバナンス論、国際協力論、平和研究、など</t>
  </si>
  <si>
    <t>●研究課題代表者（利用責任者）情報 / Research Project Representative</t>
  </si>
  <si>
    <t>中区分07_経済学_経営学およびその関連分野</t>
  </si>
  <si>
    <t>07010 理論経済学関連 ミクロ経済学、マクロ経済学、ゲーム理論、行動経済学、実験経済学、経済理論、進化経済学、経済制度、経済体制、など</t>
  </si>
  <si>
    <t>07020 経済学説および経済思想関連 経済学説、経済思想、社会思想、経済哲学、など</t>
  </si>
  <si>
    <t>07030 経済統計関連 統計制度、統計調査、経済統計、ビッグデータ、計量経済学、計量ファイナンス、など</t>
  </si>
  <si>
    <t>07040 経済政策関連 経済政策一般、産業組織論、国際経済学、開発経済学、環境資源経済学、日本経済論、地域経済、都市経済学、交通経済学、空間経済学、など</t>
  </si>
  <si>
    <t>07050 公共経済および労働経済関連 財政学、公共経済学、医療経済学、労働経済学、社会保障論、教育経済学、法と経済学、政治経済学、人口学、など</t>
  </si>
  <si>
    <t>07060 金融およびファイナンス関連 金融論、ファイナンス、国際金融論、企業金融、金融工学、保険論、など</t>
  </si>
  <si>
    <t>07070 経済史関連 経済史、経営史、産業史、など</t>
  </si>
  <si>
    <t>07080 経営学関連 経営組織論、経営戦略論、組織行動論、企業論、企業ガバナンス論、人的資源管理論、技術・イノベーション経営論、国際経営論、経営情報論、経営学一般、など</t>
  </si>
  <si>
    <t>07090 商学関連 マーケティング論、消費者行動論、流通論、ロジスティクス、商学一般、など</t>
  </si>
  <si>
    <t>所属機関・部局名（和文）/ Affiliated Institution and Department Name in Japanese</t>
    <phoneticPr fontId="1"/>
  </si>
  <si>
    <t>中区分08_社会学およびその関連分野</t>
  </si>
  <si>
    <t>08010 社会学関連 社会学一般、地域社会、家族、労働、階層、文化、メディア、エスニシティ、社会運動、社会調査法、など</t>
  </si>
  <si>
    <t>08020 社会福祉学関連 ソーシャルワーク、社会福祉政策学、社会事業史、児童福祉、障がい者福祉、高齢者福祉、地域福祉、貧困、ボランティア、社会福祉学一般、など</t>
  </si>
  <si>
    <t>08030 家政学および生活科学関連 衣生活、食生活、住生活、生活経営、家族関係、ライフスタイル、生活文化、家政教育、生活科学一般、家政学一般、など</t>
  </si>
  <si>
    <r>
      <t>所属機関・部局名（英文）/ Affiliated Institution and Department Name in English</t>
    </r>
    <r>
      <rPr>
        <sz val="10"/>
        <color rgb="FFFF0000"/>
        <rFont val="游ゴシック"/>
        <family val="3"/>
        <charset val="128"/>
        <scheme val="minor"/>
      </rPr>
      <t xml:space="preserve"> (必須/mandatory)</t>
    </r>
    <phoneticPr fontId="1"/>
  </si>
  <si>
    <t>中区分09_教育学およびその関連分野</t>
  </si>
  <si>
    <t>09010 教育学関連 教育史、教育哲学、教育方法学、教育指導者、学校教育、社会教育、教育制度、比較教育、教育経営、など</t>
  </si>
  <si>
    <t>09020 教育社会学関連 教育社会学、社会化、教育コミュニティ、進路キャリア形成、階層格差、ジェンダー、教育政策、国際開発、など</t>
  </si>
  <si>
    <t>09030 子ども学および保育学関連 子ども学、保育学、子どもの権利、発達、保育の内容方法、子育て施設、保育者、保育子育て支援制度、こども文化、歴史と思想、など</t>
  </si>
  <si>
    <t>09040 教科教育学および初等中等教育学関連 各教科の教育、各教科の授業、学習指導、教師教育、特別活動、総合的な学習、道徳教育、など</t>
  </si>
  <si>
    <t>09050 高等教育学関連 政策、入学者選抜、カリキュラム、学習進路支援、教職員、学術研究、地域連携貢献、国際化、大学経営、非大学型高等教育、など</t>
  </si>
  <si>
    <t>09060 特別支援教育関連 理念と歴史、インクルージョンと共生社会、指導と支援、発達障害、情緒障害、知的障害、言語障害、身体障害、キャリア教育、など</t>
  </si>
  <si>
    <t>09070 教育工学関連 カリキュラム開発、教授学習支援システム、メディアの活用、ＩＣＴの活用、教師教育、情報リテラシー、など</t>
  </si>
  <si>
    <t>09080 科学教育関連 科学教育、科学コミュニケーション、科学リテラシー、科学と社会、ＳＴＥＭ教育、など</t>
  </si>
  <si>
    <t>氏名（和文）/ Name (Japanese)</t>
    <phoneticPr fontId="1"/>
  </si>
  <si>
    <t>中区分10_心理学およびその関連分野</t>
  </si>
  <si>
    <t>10010 社会心理学関連 社会心理学一般、自己、集団、態度と行動、感情、対人関係、社会問題、文化、など</t>
  </si>
  <si>
    <t>10020 教育心理学関連 教育心理学一般、発達、家庭、学校、臨床、パーソナリティ、学習、測定評価、など</t>
  </si>
  <si>
    <t>10030 臨床心理学関連 臨床心理学一般、心理的障害、アセスメント、心理学的介入、養成訓練、健康、犯罪非行、コミュニティ、など</t>
  </si>
  <si>
    <t>10040 実験心理学関連 実験心理学一般、感覚、知覚、注意、記憶、言語、情動、学習、など</t>
  </si>
  <si>
    <t>90030 認知科学関連 認知科学一般、認知モデル、感性、ヒューマンファクターズ、認知脳科学、比較認知、認知言語学、認知工学、など</t>
  </si>
  <si>
    <r>
      <t xml:space="preserve">氏名（英文）/ Name (English) </t>
    </r>
    <r>
      <rPr>
        <sz val="10"/>
        <color rgb="FFFF0000"/>
        <rFont val="游ゴシック"/>
        <family val="3"/>
        <charset val="128"/>
        <scheme val="minor"/>
      </rPr>
      <t>(必須/mandatory)</t>
    </r>
    <phoneticPr fontId="1"/>
  </si>
  <si>
    <t>中区分11_代数学_幾何学およびその関連分野</t>
  </si>
  <si>
    <t>11010 代数学関連 群論、環論、表現論、代数的組み合わせ論、数論、数論幾何学、代数幾何、代数解析、代数学一般、など</t>
  </si>
  <si>
    <t>11020 幾何学関連 微分幾何学、リーマン幾何学、シンプレクティック幾何学、複素幾何学、位相幾何学、微分位相幾何学、低次元トポロジー、幾何学一般、など</t>
  </si>
  <si>
    <r>
      <t xml:space="preserve">職名 / Job Title </t>
    </r>
    <r>
      <rPr>
        <sz val="10"/>
        <color rgb="FFFF0000"/>
        <rFont val="游ゴシック"/>
        <family val="3"/>
        <charset val="128"/>
        <scheme val="minor"/>
      </rPr>
      <t>(必須/mandatory)</t>
    </r>
    <phoneticPr fontId="1"/>
  </si>
  <si>
    <t>中区分12_解析学_応用数学およびその関連分野</t>
  </si>
  <si>
    <t>12010 基礎解析学関連 函数解析学、複素解析、確率論、調和解析、作用素論、スペクトル解析、作用素環論、代数解析、表現論、基礎解析学一般、など</t>
  </si>
  <si>
    <t>12020 数理解析学関連 函数方程式論、実解析、力学系、変分法、非線形解析、応用解析一般、など</t>
  </si>
  <si>
    <t>12030 数学基礎関連 数学基礎論、情報理論、離散数学、計算機数学、数学史、数学基礎一般、など</t>
  </si>
  <si>
    <t>12040 応用数学および統計数学関連 数値解析、数理モデル、最適制御、ゲーム理論、統計数学、応用数学一般、など</t>
  </si>
  <si>
    <r>
      <t>連絡先郵便番号 / Postal code</t>
    </r>
    <r>
      <rPr>
        <sz val="10"/>
        <color rgb="FFFF0000"/>
        <rFont val="游ゴシック"/>
        <family val="3"/>
        <charset val="128"/>
        <scheme val="minor"/>
      </rPr>
      <t xml:space="preserve">  (必須/mandatory)</t>
    </r>
    <phoneticPr fontId="1"/>
  </si>
  <si>
    <t>中区分13_物性物理学およびその関連分野</t>
  </si>
  <si>
    <t>13010 数理物理および物性基礎関連 統計物理、物性基礎論、数理物理、非平衡非線形物理、流体物理、計算物理、量子情報理論、など</t>
  </si>
  <si>
    <t>13020 半導体、光物性および原子物理関連 半導体、誘電体、原子分子、メゾスコピック系、結晶、表面界面、光物性、量子エレクトロニクス、量子情報、など</t>
  </si>
  <si>
    <t>13030 磁性、超伝導および強相関系関連 磁性、強相関電子系、超伝導、量子流体固体、分子性固体、など</t>
  </si>
  <si>
    <t>13040 生物物理、化学物理およびソフトマターの物理関連 生命現象の物理、生体物質の物理、液体とガラス、ソフトマター、レオロジー、など</t>
  </si>
  <si>
    <r>
      <t>連絡先住所 /Address</t>
    </r>
    <r>
      <rPr>
        <sz val="10"/>
        <color rgb="FFFF0000"/>
        <rFont val="游ゴシック"/>
        <family val="3"/>
        <charset val="128"/>
        <scheme val="minor"/>
      </rPr>
      <t xml:space="preserve">  (必須/mandatory)</t>
    </r>
    <phoneticPr fontId="1"/>
  </si>
  <si>
    <t>中区分14_プラズマ学およびその関連分野</t>
  </si>
  <si>
    <t>14010 プラズマ科学関連 基礎プラズマ、磁化プラズマ、レーザープラズマ、強結合プラズマ、プラズマ診断、宇宙天体プラズマ、など</t>
  </si>
  <si>
    <t>14020 核融合学関連 プラズマ閉じ込め、プラズマ制御、プラズマ加熱、プラズマ計測、周辺プラズマ、プラズマ壁相互作用、慣性核融合、核融合材料、核融合システム、など</t>
  </si>
  <si>
    <t>14030 プラズマ応用科学関連 プラズマプロセス、プラズマ材料科学、プラズマ応用一般、など</t>
  </si>
  <si>
    <t>80040 量子ビーム科学関連 加速器、ビーム物理、放射線検出器、計測制御、量子ビーム応用、など</t>
  </si>
  <si>
    <r>
      <t>連絡先メールアドレス / E-mail address</t>
    </r>
    <r>
      <rPr>
        <sz val="10"/>
        <color rgb="FFFF0000"/>
        <rFont val="游ゴシック"/>
        <family val="3"/>
        <charset val="128"/>
        <scheme val="minor"/>
      </rPr>
      <t xml:space="preserve"> (必須/mandatory)</t>
    </r>
    <phoneticPr fontId="1"/>
  </si>
  <si>
    <t>中区分15_素粒子_原子核_宇宙物理学およびその関連分野</t>
  </si>
  <si>
    <t>15010 素粒子、原子核、宇宙線および宇宙物理に関連する理論 素粒子、原子核、宇宙線、宇宙物理、相対論、重力、など</t>
  </si>
  <si>
    <t>15020 素粒子、原子核、宇宙線および宇宙物理に関連する実験 素粒子、原子核、宇宙線、宇宙物理、相対論、重力、など</t>
  </si>
  <si>
    <r>
      <t>連絡先電話番号 / Phone number</t>
    </r>
    <r>
      <rPr>
        <sz val="10"/>
        <color rgb="FFFF0000"/>
        <rFont val="游ゴシック"/>
        <family val="3"/>
        <charset val="128"/>
        <scheme val="minor"/>
      </rPr>
      <t xml:space="preserve"> (必須/mandatory)</t>
    </r>
    <phoneticPr fontId="1"/>
  </si>
  <si>
    <t>中区分16_天文学およびその関連分野</t>
  </si>
  <si>
    <t>16010 天文学関連 理論天文学、電波天文学、光学赤外線天文学、Ｘ線γ線天文学、位置天文学、太陽物理学、系外惑星天文学、など</t>
  </si>
  <si>
    <t>中区分17_地球惑星科学およびその関連分野</t>
  </si>
  <si>
    <t>17010 宇宙惑星科学関連 太陽地球系科学、超高層物理学、惑星科学、系外惑星科学、地球外物質科学、など</t>
  </si>
  <si>
    <t>17020 大気水圏科学関連 気候システム学、大気科学、海洋科学、陸水学、雪氷学、古気候学、など</t>
  </si>
  <si>
    <t>17030 地球人間圏科学関連 自然環境科学、自然災害科学、地理空間情報学、第四紀学、資源および鉱床学、など</t>
  </si>
  <si>
    <t>17040 固体地球科学関連 固体地球物理学、地質学、地球内部物質科学、固体地球化学、など</t>
  </si>
  <si>
    <t>17050 地球生命科学関連 生命の起源および進化学、極限生物学、生物地球化学、古環境学、古生物学、など</t>
  </si>
  <si>
    <t>● 事務連絡責任者 情報（課題代表者以外）/ Administrative Contact Person information, other than Project Representative</t>
    <rPh sb="2" eb="4">
      <t>ジム</t>
    </rPh>
    <rPh sb="18" eb="20">
      <t>イガイ</t>
    </rPh>
    <phoneticPr fontId="1"/>
  </si>
  <si>
    <t>中区分18_材料力学_生産工学_設計工学およびその関連分野</t>
  </si>
  <si>
    <t>18010 材料力学および機械材料関連 構造力学、疲労、破壊、生体力学、材料設計、材料物性、材料評価、など</t>
  </si>
  <si>
    <t>18020 加工学および生産工学関連 機械加工、特殊加工、超精密加工、工作機械、生産システム、精密計測、工程設計、など</t>
  </si>
  <si>
    <t>18030 設計工学関連 機械設計、製品設計、設計論、信頼性設計、最適設計、コンピュータ援用設計、など</t>
  </si>
  <si>
    <t>18040 機械要素およびトライボロジー関連 機械要素、機構学、トライボロジー、アクチュエータ、マイクロマシン、など</t>
  </si>
  <si>
    <r>
      <t>所属機関・部局名 / Affiliated Institution/Department Name</t>
    </r>
    <r>
      <rPr>
        <sz val="10"/>
        <color rgb="FFFF0000"/>
        <rFont val="游ゴシック"/>
        <family val="3"/>
        <charset val="128"/>
        <scheme val="minor"/>
      </rPr>
      <t xml:space="preserve"> (必須/mandatory)</t>
    </r>
    <phoneticPr fontId="1"/>
  </si>
  <si>
    <t>中区分19_流体工学_熱工学およびその関連分野</t>
  </si>
  <si>
    <t>19010 流体工学関連 流体機械、流体計測、数値流体力学、乱流、混相流、圧縮性流体、非圧縮性流体、など</t>
  </si>
  <si>
    <t>19020 熱工学関連 伝熱、対流、燃焼、熱物性、冷凍空調、熱機関、エネルギー変換、など</t>
  </si>
  <si>
    <r>
      <t xml:space="preserve">氏名 / Name </t>
    </r>
    <r>
      <rPr>
        <sz val="10"/>
        <color rgb="FFFF0000"/>
        <rFont val="游ゴシック"/>
        <family val="3"/>
        <charset val="128"/>
        <scheme val="minor"/>
      </rPr>
      <t>(必須/mandatory)</t>
    </r>
    <phoneticPr fontId="1"/>
  </si>
  <si>
    <t>中区分20_機械力学_ロボティクスおよびその関連分野</t>
  </si>
  <si>
    <t>20010 機械力学およびメカトロニクス関連 運動学、動力学、振動学、音響学、自動制御、バイオメカニクス、計測制御応用一般、メカトロニクス応用一般、など</t>
  </si>
  <si>
    <t>20020 ロボティクスおよび知能機械システム関連 ロボティクス、知能機械システム、人間機械システム、ヒューマンインタフェース、プラニング、空間知能化システム、仮想現実感、拡張現実感、など</t>
  </si>
  <si>
    <t>中区分21_電気電子工学およびその関連分野</t>
  </si>
  <si>
    <t>21010 電力工学関連 電気エネルギー関連、省エネルギー、電力系統工学、電気機器、パワーエレクトロニクス、電気有効利用、電磁環境、無線電力伝送、など</t>
  </si>
  <si>
    <t>21020 通信工学関連 情報理論、非線形理論、信号処理、通信方式、変復調、アンテナ、ネットワーク、マルチメディア通信、暗号、など</t>
  </si>
  <si>
    <t>21030 計測工学関連 計測理論、計測機器、波動応用計測、システム化技術、信号情報処理、センシング、など</t>
  </si>
  <si>
    <t>21040 制御およびシステム工学関連 制御理論、システム理論、制御システム、知能システム、システム情報処理、システム制御応用、バイオシステム工学、など</t>
  </si>
  <si>
    <t>21050 電気電子材料工学関連 半導体、誘電体、磁性体、有機物、超伝導体、複合材料、薄膜、機能材料、厚膜、作製評価技術、など</t>
  </si>
  <si>
    <t>21060 電子デバイスおよび電子機器関連 電子デバイス、回路設計、光デバイス、スピンデバイス、ミリ波テラヘルツ波、波動応用デバイス、ストレージ、ディスプレイ、プロセス技術、実装技術、など</t>
  </si>
  <si>
    <r>
      <t>連絡先郵便番号 / Postal Code</t>
    </r>
    <r>
      <rPr>
        <sz val="10"/>
        <color rgb="FFFF0000"/>
        <rFont val="游ゴシック"/>
        <family val="3"/>
        <charset val="128"/>
        <scheme val="minor"/>
      </rPr>
      <t xml:space="preserve"> (必須/mandatory)</t>
    </r>
    <phoneticPr fontId="1"/>
  </si>
  <si>
    <t>中区分22_土木工学およびその関連分野</t>
  </si>
  <si>
    <t>22010 土木材料、施工および建設マネジメント関連 コンクリート、鋼材、複合材料、木材、舗装材料、補修補強材料、施工、維持管理、建設マネジメント、など</t>
  </si>
  <si>
    <t>22020 構造工学および地震工学関連 応用力学、構造工学、鋼構造、コンクリート構造、複合構造、風工学、地震工学、耐震構造、地震防災、など</t>
  </si>
  <si>
    <t>22030 地盤工学関連 土質力学、基礎工学、岩盤工学、土木地質、地盤の挙動、地盤構造物、地盤防災、地盤環境、トンネル工学、など</t>
  </si>
  <si>
    <t>22040 水工学関連 水理学、環境水理学、水文学、河川工学、水資源工学、海岸工学、港湾工学、海洋工学、など</t>
  </si>
  <si>
    <t>22050 土木計画学および交通工学関連 土木計画、地域都市計画、国土計画、防災計画、交通計画、交通工学、鉄道工学、測量・リモートセンシング、景観デザイン、土木史、など</t>
  </si>
  <si>
    <t>22060 土木環境システム関連 環境計画、環境システム、環境保全、用排水システム、廃棄物、水環境、大気循環、騒音振動、環境生態、環境モニタリング、など</t>
  </si>
  <si>
    <r>
      <t xml:space="preserve">連絡先住所 / Address </t>
    </r>
    <r>
      <rPr>
        <sz val="10"/>
        <color rgb="FFFF0000"/>
        <rFont val="游ゴシック"/>
        <family val="3"/>
        <charset val="128"/>
        <scheme val="minor"/>
      </rPr>
      <t xml:space="preserve"> (必須/mandatory)</t>
    </r>
    <phoneticPr fontId="1"/>
  </si>
  <si>
    <t>中区分23_建築学およびその関連分野</t>
  </si>
  <si>
    <t>23010 建築構造および材料関連 荷重論、構造解析、構造設計、各種構造、耐震設計、基礎構造、地盤、構造材料、維持管理、建築工法、など</t>
  </si>
  <si>
    <t>23020 建築環境および建築設備関連 音環境、振動環境、光環境、熱環境、空気環境、環境心理生理、建築設備、火災工学、都市環境、環境設計、など</t>
  </si>
  <si>
    <t>23030 建築計画および都市計画関連 計画論、設計論、住宅論、各種建物、都市計画、行政、建築経済、生産管理、防災計画、景観、など</t>
  </si>
  <si>
    <t>23040 建築史および意匠関連 建築史、都市史、建築論、意匠、景観、保存、再生、など</t>
  </si>
  <si>
    <r>
      <t>連絡先メールアドレス /E-mail address</t>
    </r>
    <r>
      <rPr>
        <sz val="10"/>
        <color rgb="FFFF0000"/>
        <rFont val="游ゴシック"/>
        <family val="3"/>
        <charset val="128"/>
        <scheme val="minor"/>
      </rPr>
      <t xml:space="preserve"> (必須/mandatory)</t>
    </r>
    <phoneticPr fontId="1"/>
  </si>
  <si>
    <t>中区分24_航空宇宙工学_船舶海洋工学およびその関連分野</t>
  </si>
  <si>
    <t>24010 航空宇宙工学関連 熱流体力学、構造力学、推進、航空宇宙機設計、生産技術、航空機システム、航行ダイナミクス、宇宙機システム、宇宙利用、など</t>
  </si>
  <si>
    <t>24020 船舶海洋工学関連 航行性能、構造力学、設計、生産技術、舶用機関、海上輸送、海洋開発、海中工学、極地工学、海洋環境技術、など</t>
  </si>
  <si>
    <t>中区分25_社会システム工学_安全工学_防災工学およびその関連分野</t>
  </si>
  <si>
    <t>25010 社会システム工学関連 社会システム、経営工学、オペレーションズリサーチ、インダストリアルマネジメント、信頼性工学、政策科学、規制科学、品質管理、など</t>
  </si>
  <si>
    <t>25020 安全工学関連 安全工学、安全システム、リスク工学、リスクマネジメント、労働安全、産業安全、製品安全、安全情報、人間工学、信頼性工学、など</t>
  </si>
  <si>
    <t>25030 防災工学関連 災害予測、ハザードマップ、建造物防災、ライフライン防災、地域防災計画、災害リスク評価、防災政策、災害レジリエンス、など</t>
  </si>
  <si>
    <t>中区分26_材料工学およびその関連分野</t>
  </si>
  <si>
    <t>26010 金属材料物性関連 電気磁気物性、準安定状態、拡散、相変態、状態図、格子欠陥、力学物性、熱光物性、材料計算科学、組織解析、など</t>
  </si>
  <si>
    <t>26020 無機材料および物性関連 機能性セラミックス、ガラス、エンジニアリングセラミックス、カーボン系材料、結晶構造解析、微構造、電気物性、力学物性、物理的・化学的性質、粒界物性、など</t>
  </si>
  <si>
    <t>26030 複合材料および界面関連 機能性複合材料、構造用複合材料、生体用複合材料、複合高分子、表面処理、接合接着、界面物性、傾斜機能、など</t>
  </si>
  <si>
    <t>26040 構造材料および機能材料関連 社会基盤材料、構造材料、機能材料、医療福祉材料、信頼性、センサー材料、エネルギー材料、電池材料、環境材料、など</t>
  </si>
  <si>
    <t>26050 材料加工および組織制御関連 加工成形、造形、溶接接合、結晶組織制御、レーザー加工、精密加工、研磨、粉末冶金、コーティング一般、腐食防食、など</t>
  </si>
  <si>
    <t>26060 金属生産および資源生産関連 分離精製、融解凝固、結晶成長、鋳造、希少資源代替、低環境負荷、リサイクル、など</t>
  </si>
  <si>
    <t>●共同研究拠点（以下の機関に所属する共同研究者がいる場合は自動でチェックが入ります）/ Joint Research Institution (Automatically checked according to researcher information)</t>
  </si>
  <si>
    <t>中区分27_化学工学およびその関連分野</t>
  </si>
  <si>
    <t>27010 移動現象および単位操作関連 相平衡、輸送物性、流体系単位操作、吸着、膜分離、攪拌混合、粉粒体、晶析、製膜成形、超臨界、など</t>
  </si>
  <si>
    <t>27020 反応工学およびプロセスシステム工学関連 反応操作論、新規反応場、反応機構、反応装置設計、材料合成プロセス、マイクロリアクター、プロセス制御、プロセスシステム設計、プロセスインフォマティクス、など</t>
  </si>
  <si>
    <t>27030 触媒プロセスおよび資源化学プロセス関連 触媒調製化学、触媒機能、エネルギー変換プロセス、エネルギー技術、資源有効利用技術、触媒材料、活性点解析、など</t>
  </si>
  <si>
    <t>27040 バイオ機能応用およびバイオプロセス工学関連 生体触媒工学、生物機能応用工学、食品工学、医用化学工学、バイオ生産プロセス、バイオリアクター、バイオセパレーション、バイオセンサー、バイオリファイナリ―、など</t>
  </si>
  <si>
    <t>北海道大学 情報基盤センター / Information Initiative Center, Hokkaido University</t>
    <phoneticPr fontId="1"/>
  </si>
  <si>
    <t>中区分28_ナノマイクロ科学およびその関連分野</t>
  </si>
  <si>
    <t>28010 ナノ構造化学関連 ナノ粒子化学、メゾスコピック化学、ナノ構造制御、自己組織化、ナノカーボン化学、分子デバイス、ナノ界面機能、ナノ空間機能、など</t>
  </si>
  <si>
    <t>28020 ナノ構造物理関連 ナノ物性、ナノプローブ、量子ドット、量子デバイス、電子デバイス、スピンデバイス、ナノ光デバイス、ナノトライボロジー、ナノカーボン物理、など</t>
  </si>
  <si>
    <t>28030 ナノ材料科学関連 ナノ材料創製、ナノ材料解析、ナノ表面・界面、ナノ機能材料、ナノ粒子、ナノカーボン材料、二次元材料、ナノ結晶材料、ナノコンポジット、ナノ加工プロセス、など</t>
  </si>
  <si>
    <t>28040 ナノバイオサイエンス関連 バイオ分子デバイス、分子マニピュレーション、分子イメージング、ナノ計測、ナノ合成、１分子科学、ナノバイオインターフェース、バイオ分子アレイ、ゲノム工学、など</t>
  </si>
  <si>
    <t>28050 ナノマイクロシステム関連 ＭＥＭＳ、ＮＥＭＳ、ＢｉｏＭＥＭＳ、ナノマイクロ加工、ナノマイクロ化学システム、ナノマイクロバイオシステム、ナノマイクロメカニクス、ナノマイクロセンサー、など</t>
  </si>
  <si>
    <t>東北大学 サイバーサイエンスセンター / Cyberscience Center, Tohoku University</t>
    <phoneticPr fontId="1"/>
  </si>
  <si>
    <t>中区分29_応用物理物性およびその関連分野</t>
  </si>
  <si>
    <t>29010 応用物性関連 磁性体、超伝導体、誘電体、微粒子、液晶、新機能材料、分子エレクトロニクス、バイオエレクトロニクス、スピントロニクス、など</t>
  </si>
  <si>
    <t>29020 薄膜および表面界面物性関連 薄膜工学、表面界面制御、表面科学、真空、計測、分析、ナノ顕微技術、先端機器、エレクトロニクス応用、など</t>
  </si>
  <si>
    <t>29030 応用物理一般関連 基本物理量、標準、単位、物理量計測、物理量検出、エネルギー変換、など</t>
  </si>
  <si>
    <t>東京大学 情報基盤センター / Information Technology Center,  The University of Tokyo</t>
    <phoneticPr fontId="1"/>
  </si>
  <si>
    <t>中区分30_応用物理工学およびその関連分野</t>
  </si>
  <si>
    <t>30010 結晶工学関連 金属、半導体、セラミックス、非晶質、結晶成長、人工構造、デバイス構造、結晶評価、プラズマプロセス、など</t>
  </si>
  <si>
    <t>30020 光工学および光量子科学関連 光材料、光学素子、光物性、光情報処理、レーザー、光計測、光記録、光エレクトロニクス、非線形光学、量子光学、など</t>
  </si>
  <si>
    <t>東京科学大学 情報基盤センター / Center for Information Infrastructure, Institute of Science Tokyo</t>
    <phoneticPr fontId="1"/>
  </si>
  <si>
    <t>中区分31_原子力工学_地球資源工学_エネルギー学およびその関連分野</t>
  </si>
  <si>
    <t>31010 原子力工学関連 原子炉物理、原子力安全、熱流動構造、燃料材料、原子力化学、原子力ライフサイクル、放射線安全、放射線工学、核融合炉工学、原子力社会環境、など</t>
  </si>
  <si>
    <t>31020 地球資源工学およびエネルギー学関連 資源探査、資源開発、資源循環、資源経済、エネルギーシステム、環境負荷、再生可能エネルギー、資源エネルギー政策、など</t>
  </si>
  <si>
    <t>名古屋大学 情報基盤センター / Information Technology Center,  Nagoya University</t>
    <phoneticPr fontId="1"/>
  </si>
  <si>
    <t>中区分90_人間医工学およびその関連分野</t>
  </si>
  <si>
    <t>90110 生体医工学関連 医用画像、生体モデリング、生体シミュレーション、生体計測、人工臓器学、再生医工学、生体物性、生体制御、バイオメカニクス、ナノバイオシステム、など</t>
  </si>
  <si>
    <t>90120 生体材料学関連 生体機能材料、細胞組織工学材料、生体適合材料、ナノバイオ材料、再生医工学材料、薬物送達システム、刺激応答材料、遺伝子工学材料、など</t>
  </si>
  <si>
    <t>90130 医用システム関連 医用超音波システム、画像診断システム、検査診断システム、低侵襲治療システム、遠隔診断治療システム、臓器保存システム、医療情報システム、コンピュータ外科学、医用ロボット、など</t>
  </si>
  <si>
    <t>90140 医療技術評価学関連 レギュラトリーサイエンス、安全性評価、臨床研究、医療技術倫理、医療機器、など</t>
  </si>
  <si>
    <t>90150 医療福祉工学関連 健康福祉工学、生活支援技術、介護支援技術、バリアフリー、ユニバーサルデザイン、福祉介護用ロボット、生体機能代行、福祉用具、看護理工学、など</t>
  </si>
  <si>
    <t>京都大学 学術情報メディアセンター / Academic Center for Computing and Media Studies,
Kyoto University</t>
    <phoneticPr fontId="1"/>
  </si>
  <si>
    <t>中区分32_物理化学_機能物性化学およびその関連分野</t>
  </si>
  <si>
    <t>32010 基礎物理化学関連 気体、液体、固体、ナノ物質、生体関連物質、構造と物性、化学反応、分光、理論計算、データ科学、など</t>
  </si>
  <si>
    <t>32020 機能物性化学関連 分子性物質、無機物質、複合物質、コロイド、表面・界面、電気物性、光物性、磁気物性、エネルギー変換、触媒、など</t>
  </si>
  <si>
    <t>大阪大学 D3センター / D3 Center, The University of Osaka</t>
  </si>
  <si>
    <t>中区分33_有機化学およびその関連分野</t>
  </si>
  <si>
    <t>33010 構造有機化学および物理有機化学関連 有機結晶化学、分子認識、超分子、機能性有機分子、拡張π電子系分子、有機元素化学、反応機構解析、分子キラリティー、理論有機化学、など</t>
  </si>
  <si>
    <t>33020 有機合成化学関連 反応開発、反応機構解析、選択的合成、不斉合成、触媒開発、生体触媒、環境調和型合成、天然物合成、プロセス化学、など</t>
  </si>
  <si>
    <t>九州大学 情報基盤研究開発センター / Research Institute for Information Technology, Kyushu University</t>
    <phoneticPr fontId="1"/>
  </si>
  <si>
    <t>中区分34_無機・錯体化学_分析化学およびその関連分野</t>
  </si>
  <si>
    <t>34010 無機・錯体化学関連 金属錯体化学、有機金属化学、無機固体化学、生物無機化学、溶液化学、クラスター、超分子、配位高分子、典型元素、機能物性、など</t>
  </si>
  <si>
    <t>34020 分析化学関連 スペクトル分析、先端計測、表面・界面分析、分離分析、分析試薬、放射化学、電気化学分析、バイオ分析、新分析法、など</t>
  </si>
  <si>
    <t>34030 グリーンサステイナブルケミストリーおよび環境化学関連 グリーンプロセス、グリーン触媒、リサイクル、環境計測、環境調和型物質、環境負荷低減、環境修復、省資源、地球化学、環境放射能、など</t>
  </si>
  <si>
    <t>中区分35_高分子_有機材料およびその関連分野</t>
  </si>
  <si>
    <t>35010 高分子化学関連 高分子合成、高分子反応、機能性高分子、自己組織化高分子、非共有結合型高分子、キラル高分子、生体関連高分子、高分子物性、高分子構造、高分子界面、など</t>
  </si>
  <si>
    <t>35020 高分子材料関連 高分子材料物性、高分子材料合成、高分子機能材料、環境調和高分子材料、高分子液晶材料、ゲル、生体関連高分子材料、高分子複合材料、高分子加工、など</t>
  </si>
  <si>
    <t>35030 有機機能材料関連 有機半導体材料、液晶、光学材料、デバイス関連材料、導電機能材料、ハイブリッド材料、分子機能材料、有機複合材料、エネルギー変換材料、など</t>
  </si>
  <si>
    <t>●利用拠点 （負担金：円） / Resource Required Institution ( Use Cost :JPY )</t>
  </si>
  <si>
    <t>中区分36_無機材料化学_エネルギー関連化学およびその関連分野</t>
  </si>
  <si>
    <t>36010 無機物質および無機材料化学関連 結晶、アモルファス、セラミックス、半導体、無機デバイス関連材料、低次元化合物関連化学、多孔体関連化学、ナノ粒子関連化学、多元系化合物、ハイブリッド材料、など</t>
  </si>
  <si>
    <t>36020 エネルギー関連化学 エネルギー資源、エネルギー変換材料、エネルギーキャリア関連、光エネルギー利用、物質分離、物質変換と触媒、電池と電気化学材料、省エネルギー材料、再生可能エネルギー、未利用エネルギー、など</t>
  </si>
  <si>
    <t>　資源入力シートから転記されます（Copied from resource input sheets)</t>
  </si>
  <si>
    <t>↓ここにエラーが表示されていないことを確認してください / Please check if error message is displayed below:</t>
  </si>
  <si>
    <t>中区分37_生体分子化学およびその関連分野</t>
  </si>
  <si>
    <t>37010 生体関連化学 生物有機化学、生物無機化学、生体反応化学、生体機能化学、生体機能材料、バイオテクノロジー、など</t>
  </si>
  <si>
    <t>37020 生物分子化学関連 天然物化学、生物活性分子、活性発現の分子機構、生体機能分子、コンビナトリアル化学、メタボローム解析、など</t>
  </si>
  <si>
    <t>37030 ケミカルバイオロジー関連 生体内機能発現、生体内化学反応、創薬科学、化合物ライブラリー、構造活性相関、化学プローブ、分子計測、分子イメージング、プロテオミクス、など</t>
  </si>
  <si>
    <t>全拠点負担金総計 /
 Total Cost for All Institutions</t>
    <phoneticPr fontId="1"/>
  </si>
  <si>
    <t>←負担金総計上限値（円）</t>
    <rPh sb="6" eb="9">
      <t>ジョウゲンチ</t>
    </rPh>
    <rPh sb="10" eb="11">
      <t>エン</t>
    </rPh>
    <phoneticPr fontId="1"/>
  </si>
  <si>
    <t>中区分38_農芸化学およびその関連分野</t>
  </si>
  <si>
    <t>38010 植物栄養学および土壌学関連 植物代謝生理、植物の栄養元素、土壌分類、土壌物理化学、土壌生物、など</t>
  </si>
  <si>
    <t>38020 応用微生物学関連 微生物遺伝育種、微生物機能、微生物代謝生理、微生物利用、微生物制御、微生物生態、物質生産、など</t>
  </si>
  <si>
    <t>38030 応用生物化学関連 細胞生化学、応用生化学、構造生物学、活性制御、代謝生理、細胞機能、分子機能、物質生産、など</t>
  </si>
  <si>
    <t>38040 生物有機化学関連 生物活性物質、シグナル伝達調節物質、天然物化学、天然物生合成、構造活性相関、有機合成化学、ケミカルバイオロジー、など</t>
  </si>
  <si>
    <t>38050 食品科学関連 食品機能、食品化学、栄養化学、食品分析、食品工学、食品衛生、機能性食品、栄養疫学、臨床栄養、など</t>
  </si>
  <si>
    <t>38060 応用分子細胞生物学関連 分子細胞生物学、細胞生物工学、機能分子工学、発現制御、細胞分子間相互作用、細胞機能、物質生産、など</t>
  </si>
  <si>
    <t>北海道大学　情報基盤センター / Information Initiative Center, Hokkaido University</t>
  </si>
  <si>
    <t>中区分39_生産環境農学およびその関連分野</t>
  </si>
  <si>
    <t>39010 遺伝育種科学関連 遺伝資源、育種理論、ゲノム育種、新規形質創生、品質成分、ストレス耐性、収量性、生殖増殖、生長生理、発生、など</t>
  </si>
  <si>
    <t>39020 作物生産科学関連 土地利用型作物、作物収量、作物品質、作物形態、生育予測、作物生理、耕地管理、低コスト栽培技術、環境保全型農業、耕地生態系、など</t>
  </si>
  <si>
    <t>39030 園芸科学関連 成長開花結実制御、種苗生産、作型、栽培技術、施設園芸、環境制御、品種開発、品質、ポストハーベスト、社会園芸、など</t>
  </si>
  <si>
    <t>39040 植物保護科学関連 植物病理学、植物医科学、農業害虫、天敵、雑草、農薬、総合的有害生物管理、など</t>
  </si>
  <si>
    <t>39050 昆虫科学関連 蚕糸昆虫利用学、昆虫遺伝、昆虫病理、昆虫生理生化学、昆虫生態、化学生態学、系統分類、寄生・共生、社会性昆虫、衛生昆虫、など</t>
  </si>
  <si>
    <t>39060 生物資源保全学関連 保全生物、生物多様性保全、系統生物保全、遺伝資源保全、生態系保全、微生物保全、外来種影響、など</t>
  </si>
  <si>
    <t>39070 ランドスケープ科学関連 造園、緑地計画、景観計画、文化的景観、自然環境保全、ランドスケープエコロジー、公園緑地管理、公園、環境緑化、参加型まちづくり、など</t>
  </si>
  <si>
    <t>東北大学　サイバーサイエンスセンター / Cyberscience Center, Tohoku University</t>
  </si>
  <si>
    <t>中区分40_森林圏科学_水圏応用科学およびその関連分野</t>
  </si>
  <si>
    <t>40010 森林科学関連 森林生態、森林生物多様性、森林遺伝育種、造林、森林保護、森林環境、山地保全、森林利用、森林計画、森林政策、など</t>
  </si>
  <si>
    <t>40020 木質科学関連 組織構造、材質、リグノセルロース、微量成分、菌類、木材加工、バイオマスリファイナリー、木質材料、木造建築、林産教育、など</t>
  </si>
  <si>
    <t>40030 水圏生産科学関連 水圏環境、漁業、水産資源管理、水圏生物、水圏生態系、水産増殖、水産工学、水産政策、水産経営経済、水産教育、など</t>
  </si>
  <si>
    <t>40040 水圏生命科学関連 水生生物栄養、水生生物病理、水生生物繁殖育種、水生生物生理、水生生物利用、水生生物化学、水生生物工学、水産食品科学、など</t>
  </si>
  <si>
    <t>東京大学　情報基盤センター / Information Technology Center,  The University of Tokyo</t>
  </si>
  <si>
    <t>中区分41_社会経済農学_農業工学およびその関連分野</t>
  </si>
  <si>
    <t>41010 食料農業経済関連 食料消費経済、農業生産経済、農業政策、フードシステム、食料マーケティング、国際農業開発、農畜産物貿易、農村資源環境、など</t>
  </si>
  <si>
    <t>41020 農業社会構造関連 農業経営組織、農業経営管理、農業構造、農業市場、農業史、農村社会、農村生活、協同組合、など</t>
  </si>
  <si>
    <t>41030 地域環境工学および農村計画学関連 灌漑排水、農地整備、農村計画、地域環境、資源エネルギー循環、地域防災、農業用施設のストックマネジメント、水理水文、土壌物理、材料施工、など</t>
  </si>
  <si>
    <t>41040 農業環境工学および農業情報工学関連 生物生産施設、農業機械システム、生産環境調節、農業気象環境、農業情報システム、施設園芸、植物工場、農産物貯蔵流通加工、非破壊生体計測、遠隔計測情報処理、など</t>
  </si>
  <si>
    <t>41050 環境農学関連 バイオマス、環境利用改善、生物多様性、環境分析、生態系サービス、資源循環システム、低炭素社会、ライフサイクルアセスメント、環境調和型農業、流域管理、など</t>
  </si>
  <si>
    <t>中区分42_獣医学_畜産学およびその関連分野</t>
    <phoneticPr fontId="1"/>
  </si>
  <si>
    <t>42010 動物生産科学関連 遺伝育種、繁殖、栄養飼養、形態生理、畜産物利用、環境管理、行動、アニマルセラピー、草地、放牧、など</t>
    <phoneticPr fontId="1"/>
  </si>
  <si>
    <t>42020 獣医学関連 基礎獣医学、病態獣医学、応用獣医学、臨床獣医学、動物看護、動物福祉、野生動物、など</t>
    <phoneticPr fontId="1"/>
  </si>
  <si>
    <t>42030 動物生命科学関連 恒常性、細胞機能、生体防御、総合遺伝、発生分化、生命工学、など</t>
    <phoneticPr fontId="1"/>
  </si>
  <si>
    <t>42040 実験動物学関連 遺伝子工学、発生工学、疾患モデル、施設整備、実験動物福祉、実験動物関連技術、バイオリソース、など</t>
  </si>
  <si>
    <t>名古屋大学　情報基盤センター / Information Technology Center,  Nagoya University</t>
  </si>
  <si>
    <t>中区分43_分子レベルから細胞レベルの生物学およびその関連分野</t>
  </si>
  <si>
    <t>43010 分子生物学関連 染色体機能、クロマチン、エピジェネティクス、遺伝情報の維持、遺伝情報の継承、遺伝情報の再編、遺伝情報の発現、タンパク質の機能調節、分子遺伝、ＲＮＡ機能調節、など</t>
  </si>
  <si>
    <t>43020 構造生物化学関連 タンパク質、核酸、脂質、糖、生体膜、分子認識、変性、立体構造解析、立体構造予測、分子動力学、など</t>
  </si>
  <si>
    <t>43030 機能生物化学関連 酵素、糖鎖、生体エネルギー変換、生体微量元素、生理活性物質、細胞情報伝達、膜輸送、タンパク質分解、分子認識、オルガネラ、など</t>
  </si>
  <si>
    <t>43040 生物物理学関連 構造生物学、生体分子の物性、生体膜、光生物、分子モーター、生体計測、バイオイメージング、システム生物学、合成生物学、理論生物学、など</t>
  </si>
  <si>
    <t>43050 ゲノム生物学関連 ゲノム構造、ゲノム機能、ゲノム多様性、ゲノム分子進化、ゲノム修復維持、トランスオミックス、エピゲノム、遺伝子資源、ゲノム動態、など</t>
  </si>
  <si>
    <t>43060 システムゲノム科学関連 ネットワーク解析、合成生物学、バイオデータベース、バイオインフォマティクス、ゲノム解析技術、ゲノム生物工学、など</t>
  </si>
  <si>
    <t>京都大学　学術情報メディアセンター / Academic Center for Computing and Media Studies,
Kyoto University</t>
  </si>
  <si>
    <t>中区分44_細胞レベルから個体レベルの生物学およびその関連分野</t>
  </si>
  <si>
    <t>44010 細胞生物学関連 細胞骨格、タンパク質分解、オルガネラ、核の構造機能、細胞外マトリックス、シグナル伝達、細胞周期、細胞運動、細胞間相互作用、細胞遺伝、など</t>
  </si>
  <si>
    <t>44020 発生生物学関連 細胞分化、幹細胞、再生、胚葉形成、形態形成、器官形成、受精、生殖細胞、発生遺伝、進化発生、など</t>
  </si>
  <si>
    <t>44030 植物分子および生理科学関連 光合成、成長生理、植物発生、オルガネラ、細胞壁、環境応答、植物微生物相互作用、代謝、植物分子機能、など</t>
  </si>
  <si>
    <t>44040 形態および構造関連 生物形態、比較形態、形態シミュレーション、超微形態、形態画像解析、組織構築、顕微鏡技術、イメージング、など</t>
  </si>
  <si>
    <t>44050 動物生理化学、生理学および行動学関連 代謝生理、神経生理、神経行動、行動生理、動物生理化学、時間生物学、比較生理学、比較内分泌、行動遺伝、など</t>
  </si>
  <si>
    <t>中区分45_個体レベルから集団レベルの生物学と人類学およびその関連分野</t>
  </si>
  <si>
    <t>45010 遺伝学関連 分子遺伝、細胞遺伝、発生遺伝、行動遺伝、集団遺伝、量的形質、集団ゲノミクス、ゲノムワイド関連解析、遺伝的多様性、エピゲノム多様性、など</t>
  </si>
  <si>
    <t>45020 進化生物学関連 分子進化、進化遺伝、表現型進化、進化発生、生態進化、行動進化、実験進化、共進化、種分化、進化理論、など</t>
  </si>
  <si>
    <t>45030 多様性生物学および分類学関連 分類形質、分類群、分類体系、分子系統、系統進化、種分化、自然史、生物地理、希少種保全、多様性全般、など</t>
  </si>
  <si>
    <t>45040 生態学および環境学関連 化学生態、分子生態、生理生態、進化生態、行動生態、個体群生態、群集生態、保全生態、生物間相互作用、生態系物質循環、など</t>
  </si>
  <si>
    <t>45050 自然人類学関連 形態全般、骨考古全般、生体機構、ゲノム、進化遺伝、行動、生態、比較認知、霊長類、成長と老化、など</t>
  </si>
  <si>
    <t>45060 応用人類学関連 生理人類学、人間工学、法医人類学、医療人類学、生理的多型性、環境適応能全般、生体機能全般、生体計測全般、ライフスタイル、など</t>
  </si>
  <si>
    <t>九州大学　情報基盤研究開発センター / Research Institute for Information Technology, Kyushu University</t>
  </si>
  <si>
    <t>中区分46_神経科学およびその関連分野</t>
  </si>
  <si>
    <t>46010 神経科学一般関連 神経化学、神経細胞、グリア細胞、ゲノム、エピジェネティクス、神経生物、情報処理、シナプス、神経発生、など</t>
  </si>
  <si>
    <t>46020 神経形態学関連 形態形成、脳構造、回路構造、神経病理、など</t>
  </si>
  <si>
    <t>46030 神経機能学関連 神経生理、神経薬理、情報伝達、情報処理、行動、システム生理、脳循環、自律神経、など</t>
  </si>
  <si>
    <t>mdx</t>
    <phoneticPr fontId="1"/>
  </si>
  <si>
    <t>中区分47_薬学およびその関連分野</t>
  </si>
  <si>
    <t>47010 薬系化学および創薬科学関連 無機化学、有機化学、医薬品化学、医薬分子設計、医薬品探索、生体関連物質、ケミカルバイオロジー、など</t>
  </si>
  <si>
    <t>47020 薬系分析および物理化学関連 環境分析、生体分析、物理化学、生物物理、構造解析、放射化学、イメージング、製剤設計、計算科学、情報科学、など</t>
  </si>
  <si>
    <t>47030 薬系衛生および生物化学関連 環境衛生、健康栄養、疾病予防、毒性学、薬物代謝、生体防御、分子生物学、細胞生物学、生化学、など</t>
  </si>
  <si>
    <t>47040 薬理学関連 薬理学、ゲノム薬理学、応用薬理学、シグナル伝達、薬物相互作用、薬物応答、薬物治療、安全性学、など</t>
  </si>
  <si>
    <t>47050 環境および天然医薬資源学関連 環境資源学、天然物化学、天然活性物質、薬用資源、薬用食品、微生物薬品学、など</t>
  </si>
  <si>
    <t>47060 医療薬学関連 薬物動態学、医療情報学、社会薬学、医療薬学、医療薬剤学、レギュラトリーサイエンス、薬剤師教育、など</t>
  </si>
  <si>
    <t>中区分48_生体の構造と機能およびその関連分野</t>
  </si>
  <si>
    <t>48010 解剖学関連 解剖学、組織学、発生学、など</t>
  </si>
  <si>
    <t>48020 生理学関連 一般生理学、病態生理学、比較生理学、環境生理学、など</t>
  </si>
  <si>
    <t>48030 薬理学関連 ゲノム薬理、分子細胞薬理、病態薬理、行動薬理、創薬薬理学、臨床薬理、など</t>
  </si>
  <si>
    <t>48040 医化学関連 生体機能分子医化学、ゲノム医科学、人類遺伝学、疾患モデル、など</t>
  </si>
  <si>
    <t>優先確保資源比率 / Ratio of Priority Resource（％）</t>
  </si>
  <si>
    <t>←優先確保資源比率アラーム値（％）</t>
    <rPh sb="1" eb="5">
      <t>ユウセンカクホ</t>
    </rPh>
    <rPh sb="5" eb="7">
      <t>シゲン</t>
    </rPh>
    <rPh sb="7" eb="9">
      <t>ヒリツ</t>
    </rPh>
    <rPh sb="13" eb="14">
      <t>チ</t>
    </rPh>
    <phoneticPr fontId="1"/>
  </si>
  <si>
    <t>中区分49_病理病態学_感染・免疫学およびその関連分野</t>
  </si>
  <si>
    <t>49010 病態医化学関連 分子病態、代謝異常、分子診断、など</t>
  </si>
  <si>
    <t>49020 人体病理学関連 分子病理、細胞組織病理、診断病理、など</t>
  </si>
  <si>
    <t>49030 実験病理学関連 疾患モデル、病態制御、組織再生、など</t>
  </si>
  <si>
    <t>49040 寄生虫学関連 寄生虫、媒介生物、寄生虫病原性、寄生虫疫学、寄生虫感染制御、など</t>
  </si>
  <si>
    <t>49050 細菌学関連 細菌、真菌、薬剤耐性、細菌病原性、細菌疫学、細菌感染制御、など</t>
  </si>
  <si>
    <t>49060 ウイルス学関連 ウイルス、プリオン、ウイルス病原性、ウイルス疫学、ウイルス感染制御、など</t>
  </si>
  <si>
    <t>49070 免疫学関連 免疫システム、免疫応答、炎症、免疫疾患、免疫制御、など</t>
  </si>
  <si>
    <t>中区分50_腫瘍学およびその関連分野</t>
  </si>
  <si>
    <t>50010 腫瘍生物学関連 がんと遺伝子、腫瘍形成、浸潤、転移、がん微小環境、がんとシグナル伝達、がん細胞の特性、がんと免疫細胞、など</t>
  </si>
  <si>
    <t>50020 腫瘍診断および治療学関連 ゲノム解析、診断マーカー、分子イメージング、化学療法、核酸治療、遺伝子治療、免疫療法、標的治療、物理療法、放射線療法、など</t>
  </si>
  <si>
    <t>中区分51_ブレインサイエンスおよびその関連分野</t>
  </si>
  <si>
    <t>51010 基盤脳科学関連 ブレインマシンインターフェイス、モデル動物、計算論、デコーディング、操作技術、脳画像、計測科学、など</t>
  </si>
  <si>
    <t>51020 認知脳科学関連 社会行動、コミュニケーション、情動、意志決定、意識、学習、ニューロエコノミクス、神経心理、など</t>
  </si>
  <si>
    <t>51030 病態神経科学関連 臨床神経科学、疼痛学、感覚異常、運動異常、神経疾患、神経再生、神経免疫、細胞変性、病態モデル、など</t>
  </si>
  <si>
    <t>中区分52_内科学一般およびその関連分野</t>
  </si>
  <si>
    <t>52010 内科学一般関連 心身医学、臨床検査医学、総合診療、老年医学、心療内科、東洋医学、緩和医療、など</t>
  </si>
  <si>
    <t>52020 神経内科学関連 神経内科学、神経機能画像学、など</t>
  </si>
  <si>
    <t>52030 精神神経科学関連 臨床精神医学、基礎精神医学、司法精神医学、など</t>
  </si>
  <si>
    <t>52040 放射線科学関連 画像診断学、放射線治療学、放射線基礎医学、放射線技術学、など</t>
  </si>
  <si>
    <t>52050 胎児医学および小児成育学関連 胎児医学、新生児医学、小児科学、など</t>
  </si>
  <si>
    <t>中区分53_器官システム内科学およびその関連分野</t>
  </si>
  <si>
    <t>53010 消化器内科学関連 上部消化管、下部消化管、肝臓、胆道、膵臓、など</t>
  </si>
  <si>
    <t>53020 循環器内科学関連 虚血性心疾患、心臓弁膜症、不整脈、心筋症、心不全、末梢動脈疾患、動脈硬化、高血圧、など</t>
  </si>
  <si>
    <t>53030 呼吸器内科学関連 呼吸器内科学、喘息、びまん性肺疾患、ＣＯＰＤ、肺がん、肺高血圧、など</t>
  </si>
  <si>
    <t>53040 腎臓内科学関連 急性腎障害、慢性腎臓病、糖尿病性腎症、高血圧、水電解質代謝、人工透析、など</t>
  </si>
  <si>
    <t>53050 皮膚科学関連 皮膚科学、皮膚免疫疾患、皮膚感染、皮膚腫瘍、など</t>
  </si>
  <si>
    <t>中区分54_生体情報内科学およびその関連分野</t>
  </si>
  <si>
    <t>54010 血液および腫瘍内科学関連 血液腫瘍学、腫瘍内科、血液免疫学、貧血、血栓止血、化学療法、など</t>
  </si>
  <si>
    <t>54020 膠原病およびアレルギー内科学関連 膠原病学、アレルギー学、臨床免疫学、炎症学、など</t>
  </si>
  <si>
    <t>54030 感染症内科学関連 感染症診断学、感染症治療学、生体防御学、国際感染症学、など</t>
  </si>
  <si>
    <t>54040 代謝および内分泌学関連 エネルギー代謝、糖代謝、脂質代謝、プリン代謝、骨代謝、電解質代謝、内分泌学、神経内分泌学、生殖内分泌学、など</t>
  </si>
  <si>
    <t>中区分55_恒常性維持器官の外科学およびその関連分野</t>
  </si>
  <si>
    <t>55010 外科学一般および小児外科学関連 外科総論、乳腺外科、内分泌外科、小児外科、移植、人工臓器、再生、手術支援、など</t>
  </si>
  <si>
    <t>55020 消化器外科学関連 上部消化管外科、下部消化管外科、肝臓外科、胆道外科、膵臓外科、など</t>
  </si>
  <si>
    <t>55030 心臓血管外科学関連 冠動脈外科、弁膜疾患外科、心筋疾患外科、大血管外科、脈管外科、先天性心疾患、など</t>
  </si>
  <si>
    <t>55040 呼吸器外科学関連 肺外科、縦隔外科、胸壁外科、気道外科、など</t>
  </si>
  <si>
    <t>55050 麻酔科学関連 麻酔、周術期管理、疼痛管理、蘇生、緩和医療、など</t>
  </si>
  <si>
    <t>55060 救急医学関連 集中治療、救急救命、外傷外科、災害医学、災害医療、など</t>
  </si>
  <si>
    <t>中区分56_生体機能および感覚に関する外科学およびその関連分野</t>
  </si>
  <si>
    <t>56010 脳神経外科学関連 脳神経外科学、脊髄脊椎疾患学、など</t>
  </si>
  <si>
    <t>56020 整形外科学関連 整形外科学、リハビリテーション学、スポーツ医学、など</t>
  </si>
  <si>
    <t>56030 泌尿器科学関連 泌尿器科学、男性生殖器学、など</t>
  </si>
  <si>
    <t>56040 産婦人科学関連 周産期学、生殖内分泌学、婦人科腫瘍学、女性ヘルスケア学、など</t>
  </si>
  <si>
    <t>56050 耳鼻咽喉科学関連 耳鼻咽喉科学、頭頸部外科学、など</t>
  </si>
  <si>
    <t>56060 眼科学関連 眼科学、眼光学、など</t>
  </si>
  <si>
    <t>56070 形成外科学関連 形成外科学、再建外科学、美容外科学、など</t>
  </si>
  <si>
    <t>中区分57_口腔科学およびその関連分野</t>
  </si>
  <si>
    <t>57010 常態系口腔科学関連 口腔解剖学、口腔組織発生学、口腔生理学、口腔生化学、硬組織薬理学、など</t>
  </si>
  <si>
    <t>57020 病態系口腔科学関連 口腔感染症学、口腔病理学、口腔腫瘍学、免疫炎症科学、病態検査学、など</t>
  </si>
  <si>
    <t>57030 保存治療系歯学関連 保存修復学、歯内治療学、歯周病学、など</t>
  </si>
  <si>
    <t>57040 口腔再生医学および歯科医用工学関連 口腔再生医学、生体材料、歯科材料学、顎顔面補綴学、歯科インプラント学、など</t>
  </si>
  <si>
    <t>57050 補綴系歯学関連 歯科補綴学、咀嚼嚥下機能回復学、老年歯科医学、など</t>
  </si>
  <si>
    <t>57060 外科系歯学関連 口腔外科学、顎顔面再建外科学、歯科麻酔学、歯科心身医学、歯科放射線学、など</t>
  </si>
  <si>
    <t>57070 成長および発育系歯学関連 歯科矯正学、小児歯科学、など</t>
  </si>
  <si>
    <t>57080 社会系歯学関連 口腔衛生学、予防歯科学、口腔保健学、歯科医療管理学、歯学教育学、歯科法医学、など</t>
  </si>
  <si>
    <t>中区分58_社会医学_看護学およびその関連分野</t>
  </si>
  <si>
    <t>58010 医療管理学および医療系社会学関連 医療管理学、医療社会学、医学倫理、医療倫理、医歯薬学教育、医学史、医療経済学、臨床試験、保健医療行政、災害医学、など</t>
  </si>
  <si>
    <t>58020 衛生学および公衆衛生学分野関連　実験系を含む 衛生学、公衆衛生学、疫学、国際保健、など</t>
  </si>
  <si>
    <t>58030 衛生学および公衆衛生学分野関連　実験系を含まない 衛生学、公衆衛生学、疫学、国際保健、など</t>
  </si>
  <si>
    <t>58040 法医学関連 法医学、法医病理、法中毒、法医遺伝、自殺、虐待、突然死、など</t>
  </si>
  <si>
    <t>58050 基礎看護学関連 基礎看護学、看護教育学、看護管理学、看護倫理、国際看護、など</t>
  </si>
  <si>
    <t>58060 臨床看護学関連 重篤救急看護学、周術期看護学、慢性病看護学、がん看護学、精神看護学、緩和ケア、など</t>
  </si>
  <si>
    <t>58070 生涯発達看護学関連 女性看護学、母性看護学、助産学、家族看護学、小児看護学、学校看護学、など</t>
  </si>
  <si>
    <t>58080 高齢者看護学および地域看護学関連 高齢者看護学、地域看護学、公衆衛生看護学、災害看護学、在宅看護学、など</t>
  </si>
  <si>
    <t>中区分59_スポーツ科学_体育_健康科学およびその関連分野</t>
  </si>
  <si>
    <t>59010 リハビリテーション科学関連 リハビリテーション医学、リハビリテーション看護学、リハビリテーション医療、理学療法学、作業療法学、福祉工学、言語聴覚療法学、など</t>
  </si>
  <si>
    <t>59020 スポーツ科学関連 スポーツ生理学、スポーツ生化学、スポーツ医学、スポーツ社会学、スポーツ経営学、スポーツ心理学、スポーツ教育学、トレーニング科学、スポーツバイオメカニクス、アダプテッドスポーツ科学、など</t>
  </si>
  <si>
    <t>59030 体育および身体教育学関連 発育発達、身体教育、学校体育、教育生理学、身体システム学、脳高次機能学、武道論、野外教育、など</t>
  </si>
  <si>
    <t>59040 栄養学および健康科学関連 栄養生理学、栄養生化学、栄養教育、臨床栄養、機能性食品、生活習慣病、ヘルスプロモーション、老化、など</t>
  </si>
  <si>
    <t>中区分62_応用情報学およびその関連分野</t>
  </si>
  <si>
    <t>62010 生命、健康および医療情報学関連 バイオインフォマティクス、生命情報、生体情報、ニューロインフォマティクス、脳型情報処理、生命分子計算、ＤＮＡコンピュータ、医療情報、健康情報、医用画像、など</t>
  </si>
  <si>
    <t>62020 ウェブ情報学およびサービス情報学関連 ウェブシステム、セマンティックウェブ、ウェブマイニング、社会ネットワーク分析、サービス工学、教育サービス、医療サービス、福祉サービス、社会サービス、情報文化、など</t>
  </si>
  <si>
    <t>62030 学習支援システム関連 メディアリテラシー、学習メディア、ソーシャルメディア、学習コンテンツ、学習管理、学習支援、遠隔学習、ｅ－ラーニング、など</t>
  </si>
  <si>
    <t>62040 エンタテインメントおよびゲーム情報学関連 音楽情報処理、３Ｄコンテンツ、アニメーション、ゲームプログラミング、ネットワークエンタテインメント、メディアアート、ディジタルミュージアム、体験デザイン、など</t>
  </si>
  <si>
    <t>90020 図書館情報学および人文社会情報学関連 図書館学、情報サービス、情報組織化、情報検索、計量情報学、情報資源、情報倫理、人文情報学、社会情報学、ディジタルアーカイブス、など</t>
  </si>
  <si>
    <t>中区分63_環境解析評価およびその関連分野</t>
  </si>
  <si>
    <t>63010 環境動態解析関連 地球温暖化、環境変動、水・物質循環、海洋、陸域、極域、環境計測、環境モデル、環境情報、リモートセンシング、など</t>
  </si>
  <si>
    <t>63020 放射線影響関連 放射線、測定、管理、修復、生物影響、リスク、など</t>
  </si>
  <si>
    <t>63030 化学物質影響関連 トキシコロジー、人体有害物質、微量化学物質、内分泌かく乱物質、修復、など</t>
  </si>
  <si>
    <t>63040 環境影響評価関連 大気圏、水圏、陸圏、健康影響評価、社会経済影響評価、次世代影響評価、環境アセスメント、評価手法、モニタリング、シミュレーション、など</t>
  </si>
  <si>
    <t>/</t>
  </si>
  <si>
    <t>_</t>
    <phoneticPr fontId="1"/>
  </si>
  <si>
    <t>←conat用の記号</t>
    <rPh sb="6" eb="7">
      <t xml:space="preserve">ヨウノ </t>
    </rPh>
    <rPh sb="8" eb="10">
      <t xml:space="preserve">キゴウ </t>
    </rPh>
    <phoneticPr fontId="1"/>
  </si>
  <si>
    <t>小区分60010_情報学基礎論関連</t>
  </si>
  <si>
    <t>離散構造</t>
  </si>
  <si>
    <t>数理論理学</t>
  </si>
  <si>
    <t>計算理論</t>
  </si>
  <si>
    <t>プログラム理論</t>
  </si>
  <si>
    <t>計算量理論</t>
  </si>
  <si>
    <t>アルゴリズム理論</t>
  </si>
  <si>
    <t>情報理論</t>
  </si>
  <si>
    <t>符号理論</t>
  </si>
  <si>
    <t>暗号理論</t>
  </si>
  <si>
    <t>学習理論</t>
  </si>
  <si>
    <t>小区分60020_数理情報学関連</t>
  </si>
  <si>
    <t>最適化理論</t>
  </si>
  <si>
    <t>数理システム理論</t>
  </si>
  <si>
    <t>システム制御理論</t>
  </si>
  <si>
    <t>システム分析</t>
  </si>
  <si>
    <t>システム方法論</t>
  </si>
  <si>
    <t>システムモデリング</t>
  </si>
  <si>
    <t>システムシミュレーション</t>
  </si>
  <si>
    <t>組合せ最適化</t>
  </si>
  <si>
    <t>待ち行列論</t>
  </si>
  <si>
    <t>数理ファイナンス</t>
  </si>
  <si>
    <t>小区分60030_統計科学関連</t>
  </si>
  <si>
    <t>統計学</t>
  </si>
  <si>
    <t>データサイエンス</t>
  </si>
  <si>
    <t>モデル化</t>
  </si>
  <si>
    <t>統計的推測</t>
  </si>
  <si>
    <t>多変量解析</t>
  </si>
  <si>
    <t>時系列解析</t>
  </si>
  <si>
    <t>統計的品質管理</t>
  </si>
  <si>
    <t>応用統計学</t>
  </si>
  <si>
    <t>小区分60040_計算機システム関連</t>
  </si>
  <si>
    <t>計算機アーキテクチャ</t>
  </si>
  <si>
    <t>回路とシステム</t>
  </si>
  <si>
    <t>ＬＳＩ設計</t>
  </si>
  <si>
    <t>ＬＳＩテスト</t>
  </si>
  <si>
    <t>リコンフィギャラブルシステム</t>
  </si>
  <si>
    <t>ディペンダブルアーキテクチャ</t>
  </si>
  <si>
    <t>低消費電力技術</t>
  </si>
  <si>
    <t>ハードウェア・ソフトウェア協調設計</t>
  </si>
  <si>
    <t>組込みシステム</t>
  </si>
  <si>
    <t>小区分60050_ソフトウェア関連</t>
  </si>
  <si>
    <t>プログラミング言語</t>
  </si>
  <si>
    <t>プログラミング方法論</t>
  </si>
  <si>
    <t>オペレーティングシステム</t>
  </si>
  <si>
    <t>並列分散処理</t>
  </si>
  <si>
    <t>ソフトウェア工学</t>
  </si>
  <si>
    <t>仮想化技術</t>
  </si>
  <si>
    <t>クラウドコンピューティング</t>
  </si>
  <si>
    <t>ソフトウェアディペンダビリティ</t>
  </si>
  <si>
    <t>ソフトウェアセキュリティ</t>
  </si>
  <si>
    <t>小区分60060_情報ネットワーク関連</t>
  </si>
  <si>
    <t>ネットワークアーキテクチャ</t>
  </si>
  <si>
    <t>ネットワークプロトコル</t>
  </si>
  <si>
    <t>インターネット</t>
  </si>
  <si>
    <t>モバイルネットワーク</t>
  </si>
  <si>
    <t>パーベイシブコンピューティング</t>
  </si>
  <si>
    <t>センサーネットワーク</t>
  </si>
  <si>
    <t>ＩｏＴ</t>
  </si>
  <si>
    <t>トラフィックエンジニアリング</t>
  </si>
  <si>
    <t>ネットワーク管理</t>
  </si>
  <si>
    <t>サービス構築基盤技術</t>
  </si>
  <si>
    <t>小区分60070_情報セキュリティ関連</t>
  </si>
  <si>
    <t>暗号</t>
  </si>
  <si>
    <t>耐タンパー技術</t>
  </si>
  <si>
    <t>認証</t>
  </si>
  <si>
    <t>バイオメトリクス</t>
  </si>
  <si>
    <t>アクセス制御</t>
  </si>
  <si>
    <t>マルウェア対策</t>
  </si>
  <si>
    <t>サイバー攻撃対策</t>
  </si>
  <si>
    <t>プライバシー保護</t>
  </si>
  <si>
    <t>ディジタルフォレンジクス</t>
  </si>
  <si>
    <t>セキュリティ評価認証</t>
  </si>
  <si>
    <t>小区分60080_データベース関連</t>
  </si>
  <si>
    <t>データモデル</t>
  </si>
  <si>
    <t>データベースシステム</t>
  </si>
  <si>
    <t>マルチメディアデータベース</t>
  </si>
  <si>
    <t>情報検索</t>
  </si>
  <si>
    <t>コンテンツ管理</t>
  </si>
  <si>
    <t>メタデータ</t>
  </si>
  <si>
    <t>ビッグデータ</t>
  </si>
  <si>
    <t>地理情報システム</t>
  </si>
  <si>
    <t>小区分60090_高性能計算関連</t>
  </si>
  <si>
    <t>並列処理</t>
  </si>
  <si>
    <t>分散処理</t>
  </si>
  <si>
    <t>数値解析</t>
  </si>
  <si>
    <t>可視化</t>
  </si>
  <si>
    <t>コンピュータグラフィクス</t>
  </si>
  <si>
    <t>高性能計算アプリケーション</t>
  </si>
  <si>
    <t>小区分60100_計算科学関連</t>
  </si>
  <si>
    <t>数理工学</t>
  </si>
  <si>
    <t>計算力学</t>
  </si>
  <si>
    <t>数値シミュレーション</t>
  </si>
  <si>
    <t>マルチスケール</t>
  </si>
  <si>
    <t>大規模計算</t>
  </si>
  <si>
    <t>超並列計算</t>
  </si>
  <si>
    <t>数値計算手法</t>
  </si>
  <si>
    <t>先進アルゴリズム</t>
  </si>
  <si>
    <t>小区分61010_知覚情報処理関連</t>
  </si>
  <si>
    <t>パターン認識</t>
  </si>
  <si>
    <t>画像処理</t>
  </si>
  <si>
    <t>コンピュータビジョン</t>
  </si>
  <si>
    <t>視覚メディア処理</t>
  </si>
  <si>
    <t>音メディア処理</t>
  </si>
  <si>
    <t>メディア編集</t>
  </si>
  <si>
    <t>メディアデータベース</t>
  </si>
  <si>
    <t>センシング</t>
  </si>
  <si>
    <t>センサ融合</t>
  </si>
  <si>
    <t>小区分61020_ヒューマンインタフェースおよびインタラクション関連</t>
  </si>
  <si>
    <t>ヒューマンインタフェース</t>
  </si>
  <si>
    <t>マルチモーダルインタフェース</t>
  </si>
  <si>
    <t>ヒューマンコンピュータインタラクション</t>
  </si>
  <si>
    <t>協同作業環境</t>
  </si>
  <si>
    <t>バーチャルリアリティ</t>
  </si>
  <si>
    <t>拡張現実</t>
  </si>
  <si>
    <t>臨場感コミュニケーション</t>
  </si>
  <si>
    <t>ウェアラブル機器</t>
  </si>
  <si>
    <t>ユーザビリティ</t>
  </si>
  <si>
    <t>人間工学</t>
  </si>
  <si>
    <t>小区分61030_知能情報学関連</t>
  </si>
  <si>
    <t>探索</t>
  </si>
  <si>
    <t>推論</t>
  </si>
  <si>
    <t>機械学習</t>
  </si>
  <si>
    <t>知識獲得</t>
  </si>
  <si>
    <t>知的システム</t>
  </si>
  <si>
    <t>知能情報処理</t>
  </si>
  <si>
    <t>自然言語処理</t>
  </si>
  <si>
    <t>データマイニング</t>
  </si>
  <si>
    <t>オントロジー</t>
  </si>
  <si>
    <t>エージェントシステム</t>
  </si>
  <si>
    <t>小区分61040_ソフトコンピューティング関連</t>
  </si>
  <si>
    <t>ニューラルネットワーク</t>
  </si>
  <si>
    <t>進化計算</t>
  </si>
  <si>
    <t>ファジィ理論</t>
  </si>
  <si>
    <t>カオス</t>
  </si>
  <si>
    <t>複雑系</t>
  </si>
  <si>
    <t>確率的情報処理</t>
  </si>
  <si>
    <t>小区分61050_知能ロボティクス関連</t>
  </si>
  <si>
    <t>知能ロボット</t>
  </si>
  <si>
    <t>行動環境認識</t>
  </si>
  <si>
    <t>プランニング</t>
  </si>
  <si>
    <t>感覚行動システム</t>
  </si>
  <si>
    <t>自律システム</t>
  </si>
  <si>
    <t>ディジタルヒューマン</t>
  </si>
  <si>
    <t>実世界情報処理</t>
  </si>
  <si>
    <t>物理エージェント</t>
  </si>
  <si>
    <t>知能化空間</t>
  </si>
  <si>
    <t>小区分61060_感性情報学関連</t>
  </si>
  <si>
    <t>感性デザイン学</t>
  </si>
  <si>
    <t>感性認知科学</t>
  </si>
  <si>
    <t>感性心理学</t>
  </si>
  <si>
    <t>感性ロボティクス</t>
  </si>
  <si>
    <t>感性計測評価</t>
  </si>
  <si>
    <t>感性インタフェース</t>
  </si>
  <si>
    <t>感性生理学</t>
  </si>
  <si>
    <t>感性材料科学</t>
  </si>
  <si>
    <t>感性教育学</t>
  </si>
  <si>
    <t>感性脳科学</t>
  </si>
  <si>
    <t>小区分90010_デザイン学関連</t>
  </si>
  <si>
    <t>情報デザイン</t>
  </si>
  <si>
    <t>環境デザイン</t>
  </si>
  <si>
    <t>工業デザイン</t>
  </si>
  <si>
    <t>空間デザイン</t>
  </si>
  <si>
    <t>デザイン史</t>
  </si>
  <si>
    <t>デザイン論</t>
  </si>
  <si>
    <t>デザイン規格</t>
  </si>
  <si>
    <t>デザイン支援</t>
  </si>
  <si>
    <t>デザイン評価</t>
  </si>
  <si>
    <t>デザイン教育</t>
  </si>
  <si>
    <t>小区分90030_認知科学関連</t>
  </si>
  <si>
    <t>認知科学一般</t>
  </si>
  <si>
    <t>認知モデル</t>
  </si>
  <si>
    <t>感性</t>
  </si>
  <si>
    <t>ヒューマンファクターズ</t>
  </si>
  <si>
    <t>認知脳科学</t>
  </si>
  <si>
    <t>比較認知</t>
  </si>
  <si>
    <t>認知言語学</t>
  </si>
  <si>
    <t>認知工学</t>
  </si>
  <si>
    <t>Fundamentals_of_Informatics</t>
  </si>
  <si>
    <t>Discrete Structure</t>
  </si>
  <si>
    <t>Mathematical Logic</t>
  </si>
  <si>
    <t>Computational Theory</t>
  </si>
  <si>
    <t>Program Theory</t>
  </si>
  <si>
    <t>Computation quantity Theory</t>
  </si>
  <si>
    <t>Algorithm Theory</t>
  </si>
  <si>
    <t>Information Theory</t>
  </si>
  <si>
    <t>Sign Theory</t>
  </si>
  <si>
    <t>Cryptology</t>
  </si>
  <si>
    <t>Learning Theory</t>
  </si>
  <si>
    <t>Mathematical_Informatics</t>
  </si>
  <si>
    <t>Optimization Theory</t>
  </si>
  <si>
    <t>Mathematical Systems Theory</t>
  </si>
  <si>
    <t>System Control Theory</t>
  </si>
  <si>
    <t>Systems Analysis</t>
  </si>
  <si>
    <t>Systems Methodology</t>
  </si>
  <si>
    <t>Systems Modeling</t>
  </si>
  <si>
    <t>System Simulation</t>
  </si>
  <si>
    <t>Combinatorial Optimization</t>
  </si>
  <si>
    <t>Queueing Theory</t>
  </si>
  <si>
    <t>Mathematical Finance</t>
  </si>
  <si>
    <t>Statistical_Science</t>
  </si>
  <si>
    <t>Statistics</t>
  </si>
  <si>
    <t>Data Science</t>
  </si>
  <si>
    <t>Modeling</t>
  </si>
  <si>
    <t>Statistical Inference</t>
  </si>
  <si>
    <t>Multivariate Analysis</t>
  </si>
  <si>
    <t>Time Series Analysis</t>
  </si>
  <si>
    <t>Statistical Quality Control</t>
  </si>
  <si>
    <t>Applied Statistics</t>
  </si>
  <si>
    <t>Computer_Systems</t>
  </si>
  <si>
    <t>Computer Architecture</t>
  </si>
  <si>
    <t>Circuits and Systems</t>
  </si>
  <si>
    <t>LSI Design</t>
  </si>
  <si>
    <t>LSI Testing</t>
  </si>
  <si>
    <t>Reconfigurable Systems</t>
  </si>
  <si>
    <t>Dependable Architecture</t>
  </si>
  <si>
    <t>Low Power Technology</t>
  </si>
  <si>
    <t>Hardware/Software Co-Design</t>
  </si>
  <si>
    <t>Embedded Systems</t>
  </si>
  <si>
    <t>Software</t>
  </si>
  <si>
    <t>Programming Languages</t>
  </si>
  <si>
    <t>Programming Methodology</t>
  </si>
  <si>
    <t>Operating Systems</t>
  </si>
  <si>
    <t>Parallel and Distributed Processing</t>
  </si>
  <si>
    <t>Software Engineering</t>
  </si>
  <si>
    <t>Virtualization technology</t>
  </si>
  <si>
    <t>Cloud Computing</t>
  </si>
  <si>
    <t>Software Dependability</t>
  </si>
  <si>
    <t>Software Security</t>
  </si>
  <si>
    <t>Information_Networking</t>
  </si>
  <si>
    <t>Network Architecture</t>
  </si>
  <si>
    <t>Network Protocols</t>
  </si>
  <si>
    <t>Internet</t>
  </si>
  <si>
    <t>Mobile Networking</t>
  </si>
  <si>
    <t>Pervasive Computing</t>
  </si>
  <si>
    <t>Sensor Networks</t>
  </si>
  <si>
    <t>IoT</t>
  </si>
  <si>
    <t>Traffic Engineering</t>
  </si>
  <si>
    <t>Network Management</t>
  </si>
  <si>
    <t>Service Construction Infrastructure Technology</t>
  </si>
  <si>
    <t>Information_Security</t>
  </si>
  <si>
    <t>Cryptography</t>
  </si>
  <si>
    <t>Tamper-resistant technology</t>
  </si>
  <si>
    <t>Authentication</t>
  </si>
  <si>
    <t>Biometrics</t>
  </si>
  <si>
    <t>Access Control</t>
  </si>
  <si>
    <t>Anti-malware</t>
  </si>
  <si>
    <t>Cyber Attack Prevention</t>
  </si>
  <si>
    <t>Privacy Protection</t>
  </si>
  <si>
    <t>Digital forensics</t>
  </si>
  <si>
    <t>Security Evaluation and Certification</t>
  </si>
  <si>
    <t>Database</t>
  </si>
  <si>
    <t>Data Models</t>
  </si>
  <si>
    <t>Database Systems</t>
  </si>
  <si>
    <t>Multimedia Database</t>
  </si>
  <si>
    <t>Information Retrieval</t>
  </si>
  <si>
    <t>Content Management</t>
  </si>
  <si>
    <t>Metadata</t>
  </si>
  <si>
    <t>Big Data</t>
  </si>
  <si>
    <t>Geographic Information Systems</t>
  </si>
  <si>
    <t>High_Performance_Computing</t>
  </si>
  <si>
    <t>Parallel Processing</t>
  </si>
  <si>
    <t>Distributed Processing</t>
  </si>
  <si>
    <t>Cloud computing</t>
  </si>
  <si>
    <t>Numerical Analysis</t>
  </si>
  <si>
    <t>Visualization</t>
  </si>
  <si>
    <t>Computer Graphics</t>
  </si>
  <si>
    <t>High-performance computing applications</t>
  </si>
  <si>
    <t>Computational_Science</t>
  </si>
  <si>
    <t>Mathematical Engineering</t>
  </si>
  <si>
    <t>Computational Mechanics</t>
  </si>
  <si>
    <t>Numerical simulation</t>
  </si>
  <si>
    <t>Multiscale</t>
  </si>
  <si>
    <t>Large-Scale Computing</t>
  </si>
  <si>
    <t>Massively Parallel Computing</t>
  </si>
  <si>
    <t>Numerical Methods</t>
  </si>
  <si>
    <t>Advanced Algorithms</t>
  </si>
  <si>
    <t>Perceptual_Information_Processing</t>
  </si>
  <si>
    <t>Pattern Recognition</t>
  </si>
  <si>
    <t>Image Processing</t>
  </si>
  <si>
    <t>Computer Vision</t>
  </si>
  <si>
    <t>Visual Media Processing</t>
  </si>
  <si>
    <t>Acoustic Media Processing</t>
  </si>
  <si>
    <t>Media Editing</t>
  </si>
  <si>
    <t>Media Databases</t>
  </si>
  <si>
    <t>Sensing</t>
  </si>
  <si>
    <t>Sensor Fusion</t>
  </si>
  <si>
    <t>Human_Interface_and_Interaction</t>
  </si>
  <si>
    <t>Human Interface</t>
  </si>
  <si>
    <t>Multimodal Interfaces</t>
  </si>
  <si>
    <t>Human-computer interaction</t>
  </si>
  <si>
    <t>Collaborative Environments</t>
  </si>
  <si>
    <t>Virtual Reality</t>
  </si>
  <si>
    <t>Augmented Reality</t>
  </si>
  <si>
    <t>Realistic Communication</t>
  </si>
  <si>
    <t>Wearable Devices</t>
  </si>
  <si>
    <t>Usability</t>
  </si>
  <si>
    <t>Ergonomics</t>
  </si>
  <si>
    <t>Intelligent_Informatics</t>
  </si>
  <si>
    <t>Search</t>
  </si>
  <si>
    <t>Reasoning</t>
  </si>
  <si>
    <t>Machine Learning</t>
  </si>
  <si>
    <t>Knowledge Acquisition</t>
  </si>
  <si>
    <t>Intelligent Systems</t>
  </si>
  <si>
    <t>Intelligent information processing</t>
  </si>
  <si>
    <t>Natural Language Processing</t>
  </si>
  <si>
    <t>Data Mining</t>
  </si>
  <si>
    <t>Ontology</t>
  </si>
  <si>
    <t>Agent Systems</t>
  </si>
  <si>
    <t>Soft_Computing</t>
  </si>
  <si>
    <t>Neural Networks</t>
  </si>
  <si>
    <t>Evolutionary Computation</t>
  </si>
  <si>
    <t>Fuzzy Theory</t>
  </si>
  <si>
    <t>Chaos</t>
  </si>
  <si>
    <t>Complex Systems</t>
  </si>
  <si>
    <t>Probabilistic Information Processing</t>
  </si>
  <si>
    <t>Intelligent_Robotics</t>
  </si>
  <si>
    <t>Intelligent Robotics</t>
  </si>
  <si>
    <t>Behavioral Environment Recognition</t>
  </si>
  <si>
    <t>Planning</t>
  </si>
  <si>
    <t>Sensory-Behavioral Systems</t>
  </si>
  <si>
    <t>Autonomous Systems</t>
  </si>
  <si>
    <t>Digital Human</t>
  </si>
  <si>
    <t>Real-world information processing</t>
  </si>
  <si>
    <t>Physical Agents</t>
  </si>
  <si>
    <t>Intelligent Spaces</t>
  </si>
  <si>
    <t>Sensory_Informatics</t>
  </si>
  <si>
    <t>Sensory Design Studies</t>
  </si>
  <si>
    <t>Sensory and Cognitive Science</t>
  </si>
  <si>
    <t>Psychology of Sensitivity</t>
  </si>
  <si>
    <t>Sensory Robotics</t>
  </si>
  <si>
    <t>Sensory Measurement and Evaluation</t>
  </si>
  <si>
    <t>Sensory Interface</t>
  </si>
  <si>
    <t>Sensory Physiology</t>
  </si>
  <si>
    <t>Sensory Materials Science</t>
  </si>
  <si>
    <t>Sensory Pedagogy</t>
  </si>
  <si>
    <t>Sensory Brain Science</t>
  </si>
  <si>
    <t>Design_Science</t>
  </si>
  <si>
    <t>Information Design</t>
  </si>
  <si>
    <t>Environmental Design</t>
  </si>
  <si>
    <t>Industrial Design</t>
  </si>
  <si>
    <t>Spatial Design</t>
  </si>
  <si>
    <t>Design History</t>
  </si>
  <si>
    <t>Design Theory</t>
  </si>
  <si>
    <t>Design Standards</t>
  </si>
  <si>
    <t>Design Support</t>
  </si>
  <si>
    <t>Design Evaluation</t>
  </si>
  <si>
    <t>Design Education</t>
  </si>
  <si>
    <t>Cognitive_Science</t>
  </si>
  <si>
    <t>Cognitive Science</t>
  </si>
  <si>
    <t>Cognitive Modeling</t>
  </si>
  <si>
    <t>Sensitivity</t>
  </si>
  <si>
    <t>Human Factors</t>
  </si>
  <si>
    <t>Cognitive Brain Science</t>
  </si>
  <si>
    <t>Comparative cognition</t>
  </si>
  <si>
    <t>Cognitive Linguistics</t>
  </si>
  <si>
    <t>Cognitive Engineering</t>
  </si>
  <si>
    <t>【Researcher sheet】（黄色セルに記入・選択ください）/ Please input in yellow cells</t>
    <phoneticPr fontId="1"/>
  </si>
  <si>
    <t>→非表示</t>
    <rPh sb="1" eb="4">
      <t>ヒヒョウジ</t>
    </rPh>
    <phoneticPr fontId="1"/>
  </si>
  <si>
    <t>● 共同研究体制 / Joint Research Team Members</t>
  </si>
  <si>
    <t>利用なし / Not use</t>
  </si>
  <si>
    <t>(選択下さい)</t>
    <rPh sb="1" eb="3">
      <t>センタク</t>
    </rPh>
    <rPh sb="3" eb="4">
      <t>クダ</t>
    </rPh>
    <phoneticPr fontId="1"/>
  </si>
  <si>
    <r>
      <rPr>
        <sz val="10"/>
        <color rgb="FF000000"/>
        <rFont val="游ゴシック"/>
        <family val="3"/>
        <charset val="128"/>
      </rPr>
      <t>研究課題代表者、副代表者</t>
    </r>
    <r>
      <rPr>
        <sz val="9"/>
        <color rgb="FF000000"/>
        <rFont val="游ゴシック"/>
        <family val="3"/>
        <charset val="128"/>
      </rPr>
      <t>（1名以上）、全共同研究者を記入してください。/ The team consists of a Representative (mandatory), at least one deputy representative and Researchers (optional)</t>
    </r>
  </si>
  <si>
    <t>利用あり / Use</t>
  </si>
  <si>
    <t>非居住者等/Non-resident</t>
  </si>
  <si>
    <t>35歳以下 / Under 35 yrs old</t>
  </si>
  <si>
    <t>男性 / Male</t>
  </si>
  <si>
    <t>大学院生 / Graduate student</t>
    <phoneticPr fontId="1"/>
  </si>
  <si>
    <t>記入に当たっては、シート「Note」内の(*n)および「Researcher(Sample-J/E)」を参照ください。/ Please refer to sheet "Note"and"Researcher(Sample-J/E)" when filling out this sheet.</t>
    <phoneticPr fontId="1"/>
  </si>
  <si>
    <t>36－39歳 / 36 - 39 yrs old</t>
  </si>
  <si>
    <t>女性 / Female</t>
  </si>
  <si>
    <t>学部学生等/Undergraduate student etc.</t>
    <rPh sb="0" eb="2">
      <t>ガクブ</t>
    </rPh>
    <rPh sb="2" eb="4">
      <t>ガクセイ</t>
    </rPh>
    <rPh sb="4" eb="5">
      <t>ナド</t>
    </rPh>
    <phoneticPr fontId="1"/>
  </si>
  <si>
    <t>研究者の種類 / Type of researcher</t>
  </si>
  <si>
    <r>
      <t xml:space="preserve">氏名 / Name
</t>
    </r>
    <r>
      <rPr>
        <sz val="9"/>
        <color rgb="FFFF0000"/>
        <rFont val="游ゴシック"/>
        <family val="3"/>
        <charset val="128"/>
        <scheme val="minor"/>
      </rPr>
      <t>【必須項目/mandatory】</t>
    </r>
    <phoneticPr fontId="1"/>
  </si>
  <si>
    <t>非居住者等(*1) / Non-resident</t>
    <phoneticPr fontId="1"/>
  </si>
  <si>
    <r>
      <t xml:space="preserve">国籍 / Nationality
</t>
    </r>
    <r>
      <rPr>
        <sz val="9"/>
        <color rgb="FFFF0000"/>
        <rFont val="游ゴシック"/>
        <family val="3"/>
        <charset val="128"/>
        <scheme val="minor"/>
      </rPr>
      <t>【必須項目/mandatory】</t>
    </r>
    <phoneticPr fontId="1"/>
  </si>
  <si>
    <t>若手(*2) / Young Researcher</t>
    <phoneticPr fontId="1"/>
  </si>
  <si>
    <r>
      <t xml:space="preserve">性別(*3) / Gender
</t>
    </r>
    <r>
      <rPr>
        <sz val="9"/>
        <color rgb="FFFF0000"/>
        <rFont val="游ゴシック"/>
        <family val="3"/>
        <charset val="128"/>
        <scheme val="minor"/>
      </rPr>
      <t>【必須項目/mandatory】</t>
    </r>
    <phoneticPr fontId="1"/>
  </si>
  <si>
    <t>学生(*4) /  Student</t>
    <phoneticPr fontId="1"/>
  </si>
  <si>
    <r>
      <t xml:space="preserve">所属機関・部局名 / Affiliated Institution and Department
（拠点選択or自由入力 / Select Institution or Free Input )
</t>
    </r>
    <r>
      <rPr>
        <sz val="9"/>
        <color rgb="FFFF0000"/>
        <rFont val="游ゴシック"/>
        <family val="3"/>
        <charset val="128"/>
        <scheme val="minor"/>
      </rPr>
      <t>【必須項目/mandatory】</t>
    </r>
    <phoneticPr fontId="1"/>
  </si>
  <si>
    <r>
      <t xml:space="preserve">国名（所属の所在地）/ Country name(location of institution)
</t>
    </r>
    <r>
      <rPr>
        <sz val="8"/>
        <color rgb="FFFF0000"/>
        <rFont val="游ゴシック"/>
        <family val="3"/>
        <charset val="128"/>
        <scheme val="minor"/>
      </rPr>
      <t>【必須項目/mandatory】</t>
    </r>
    <phoneticPr fontId="1"/>
  </si>
  <si>
    <r>
      <t xml:space="preserve">役割・担当分野等 / Roles and Responsibility
</t>
    </r>
    <r>
      <rPr>
        <sz val="9"/>
        <color rgb="FFFF0000"/>
        <rFont val="游ゴシック"/>
        <family val="3"/>
        <charset val="128"/>
        <scheme val="minor"/>
      </rPr>
      <t>【必須項目/mandatory】</t>
    </r>
    <phoneticPr fontId="1"/>
  </si>
  <si>
    <t>研究者番号(*5) / “Kakenhi” Researcher Code</t>
  </si>
  <si>
    <r>
      <t>研究分野(科研費小区分コード(*6) / Research field (Basic review section code number of Kakenhi grant)</t>
    </r>
    <r>
      <rPr>
        <sz val="9"/>
        <color rgb="FFFF0000"/>
        <rFont val="游ゴシック"/>
        <family val="3"/>
        <charset val="128"/>
        <scheme val="minor"/>
      </rPr>
      <t>【必須項目/mandatory】</t>
    </r>
    <rPh sb="90" eb="92">
      <t>コウモク</t>
    </rPh>
    <phoneticPr fontId="1"/>
  </si>
  <si>
    <t>その他 / Others</t>
  </si>
  <si>
    <t>代表者/Representative</t>
  </si>
  <si>
    <t>日本</t>
  </si>
  <si>
    <t>日本/Japan</t>
    <rPh sb="0" eb="2">
      <t>ニホン</t>
    </rPh>
    <phoneticPr fontId="1"/>
  </si>
  <si>
    <t>回答しない / Do not respond</t>
  </si>
  <si>
    <t>副代表者/Deputy Representative</t>
  </si>
  <si>
    <t>日本</t>
    <rPh sb="0" eb="2">
      <t>ニホン</t>
    </rPh>
    <phoneticPr fontId="1"/>
  </si>
  <si>
    <t>共同研究者/Researcher</t>
  </si>
  <si>
    <t>(自由入力/Free Input)</t>
    <rPh sb="1" eb="5">
      <t>ジユウニュウリョク</t>
    </rPh>
    <phoneticPr fontId="1"/>
  </si>
  <si>
    <t>北海道大学資源利用申請シート/ Hokkaido University Resource Request Sheet</t>
    <phoneticPr fontId="1"/>
  </si>
  <si>
    <t>利用申請資源集計表（この表には入力しないでください）/ Summary of requested resources (Please DO NOT input here)</t>
    <rPh sb="0" eb="6">
      <t>リヨウシンセイシゲン</t>
    </rPh>
    <rPh sb="6" eb="9">
      <t>シュウケイヒョウ</t>
    </rPh>
    <rPh sb="12" eb="13">
      <t>ヒョウ</t>
    </rPh>
    <rPh sb="15" eb="17">
      <t>ニュウリョク</t>
    </rPh>
    <phoneticPr fontId="1"/>
  </si>
  <si>
    <t>利用資源料(円)/Usage resource fee(JPY)</t>
    <rPh sb="0" eb="4">
      <t>リヨウシゲン</t>
    </rPh>
    <rPh sb="4" eb="5">
      <t>リョウ</t>
    </rPh>
    <rPh sb="6" eb="7">
      <t>エン</t>
    </rPh>
    <phoneticPr fontId="1"/>
  </si>
  <si>
    <t>メッセージ/Message</t>
    <phoneticPr fontId="1"/>
  </si>
  <si>
    <t>HPCI資源小計/HPCI resource subtotal</t>
    <rPh sb="6" eb="8">
      <t>ショウケイ</t>
    </rPh>
    <phoneticPr fontId="1"/>
  </si>
  <si>
    <t>（優先確保HPCI資源小計/Subtotal of high priority HPCI resource)</t>
    <phoneticPr fontId="1"/>
  </si>
  <si>
    <t>←B5の内数（Included in B5）</t>
    <rPh sb="4" eb="6">
      <t>ウチスウ</t>
    </rPh>
    <phoneticPr fontId="1"/>
  </si>
  <si>
    <t>非HPCI資源小計/Non HPCI resource subtotal</t>
    <rPh sb="0" eb="1">
      <t>ヒ</t>
    </rPh>
    <rPh sb="7" eb="9">
      <t>ショウケイ</t>
    </rPh>
    <phoneticPr fontId="1"/>
  </si>
  <si>
    <t>→Ｊ列より右は非表示の想定</t>
    <rPh sb="2" eb="3">
      <t>レツ</t>
    </rPh>
    <rPh sb="5" eb="6">
      <t>ミギ</t>
    </rPh>
    <rPh sb="7" eb="10">
      <t>ヒヒョウジ</t>
    </rPh>
    <rPh sb="11" eb="13">
      <t>ソウテイ</t>
    </rPh>
    <phoneticPr fontId="1"/>
  </si>
  <si>
    <t>合計/Total</t>
    <phoneticPr fontId="1"/>
  </si>
  <si>
    <t xml:space="preserve">（資源超過などの有無）/ （Excess of resource limit） </t>
    <phoneticPr fontId="1"/>
  </si>
  <si>
    <t>資源量入力フォーム/Resource Input Form</t>
  </si>
  <si>
    <t>黄色セルに記入してください/Please input in yellow cells</t>
    <rPh sb="0" eb="2">
      <t>キイロ</t>
    </rPh>
    <rPh sb="5" eb="7">
      <t>キニュウ</t>
    </rPh>
    <phoneticPr fontId="1"/>
  </si>
  <si>
    <t>優先確保資源は”○”を指定下さい（Input "○" for high priority resources)</t>
    <rPh sb="0" eb="4">
      <t>ユウセンカクホ</t>
    </rPh>
    <rPh sb="4" eb="6">
      <t>シゲン</t>
    </rPh>
    <rPh sb="11" eb="14">
      <t>シテイクダ</t>
    </rPh>
    <phoneticPr fontId="1"/>
  </si>
  <si>
    <t>資源名/Resources</t>
    <phoneticPr fontId="1"/>
  </si>
  <si>
    <t>単位/Unit</t>
    <phoneticPr fontId="1"/>
  </si>
  <si>
    <t>上限値/Upper limit
 of requested quantity</t>
    <rPh sb="0" eb="3">
      <t>ジョウゲンチ</t>
    </rPh>
    <phoneticPr fontId="1"/>
  </si>
  <si>
    <t>利用量/
Requested quantity</t>
    <rPh sb="2" eb="3">
      <t>リョウ</t>
    </rPh>
    <phoneticPr fontId="1"/>
  </si>
  <si>
    <t>優先確保資源/
High priority resource</t>
    <rPh sb="0" eb="4">
      <t>ユウセンカクホ</t>
    </rPh>
    <rPh sb="4" eb="6">
      <t>シゲン</t>
    </rPh>
    <phoneticPr fontId="1"/>
  </si>
  <si>
    <t>利用資源量/Amount
 of resources used</t>
    <rPh sb="0" eb="2">
      <t>リヨウ</t>
    </rPh>
    <rPh sb="2" eb="4">
      <t>シゲン</t>
    </rPh>
    <rPh sb="4" eb="5">
      <t>リョウ</t>
    </rPh>
    <phoneticPr fontId="1"/>
  </si>
  <si>
    <t>利用資源料(円)/
Resource usage fee(JPY)</t>
    <rPh sb="2" eb="4">
      <t>シゲン</t>
    </rPh>
    <phoneticPr fontId="1"/>
  </si>
  <si>
    <t>優先確保資源利用料(円)/
High priority resource usage fee(JPY)</t>
    <rPh sb="0" eb="4">
      <t>ユウセンカクホ</t>
    </rPh>
    <rPh sb="4" eb="6">
      <t>シゲン</t>
    </rPh>
    <rPh sb="8" eb="9">
      <t>リョウ</t>
    </rPh>
    <phoneticPr fontId="1"/>
  </si>
  <si>
    <t>単価</t>
    <rPh sb="0" eb="2">
      <t>タンカ</t>
    </rPh>
    <phoneticPr fontId="1"/>
  </si>
  <si>
    <t>・HPCI資源（別紙1（1）)/HPCI resource (see Appendix 1(1))</t>
    <phoneticPr fontId="1"/>
  </si>
  <si>
    <t>①CPUノード群　/　CPU nodes</t>
    <rPh sb="7" eb="8">
      <t>グン</t>
    </rPh>
    <phoneticPr fontId="1"/>
  </si>
  <si>
    <t>CPU時間積/CPU-Hours (CH)</t>
    <rPh sb="3" eb="6">
      <t>ジカンセキ</t>
    </rPh>
    <phoneticPr fontId="1"/>
  </si>
  <si>
    <t>　</t>
  </si>
  <si>
    <t>1. CPU nodes</t>
    <phoneticPr fontId="1"/>
  </si>
  <si>
    <t>CPU-hours</t>
    <phoneticPr fontId="1"/>
  </si>
  <si>
    <t>②GPUノード群　/　GPU nodes</t>
    <rPh sb="7" eb="8">
      <t>グン</t>
    </rPh>
    <phoneticPr fontId="1"/>
  </si>
  <si>
    <t>GPU時間積/GPU-Hours (GH)</t>
    <rPh sb="3" eb="6">
      <t>ジカンセキ</t>
    </rPh>
    <phoneticPr fontId="1"/>
  </si>
  <si>
    <t>2. GPU nodes</t>
    <phoneticPr fontId="1"/>
  </si>
  <si>
    <t>GPU-hours</t>
    <phoneticPr fontId="1"/>
  </si>
  <si>
    <t>③ストレージ（CPUノード・GPUノード共通領域）/
 Storage(common to CPU nodes and GPU nodes)</t>
    <phoneticPr fontId="1"/>
  </si>
  <si>
    <t xml:space="preserve"> 4TB</t>
    <phoneticPr fontId="1"/>
  </si>
  <si>
    <t>3. Storage(common to CPU nodes and GPU nodes)</t>
    <phoneticPr fontId="1"/>
  </si>
  <si>
    <t>4TB</t>
    <phoneticPr fontId="1"/>
  </si>
  <si>
    <t>④コンテナCPU　/　Number of container CPU cores</t>
    <phoneticPr fontId="1"/>
  </si>
  <si>
    <t>vCore(s)</t>
    <phoneticPr fontId="1"/>
  </si>
  <si>
    <t>4. Container CPU cores</t>
    <phoneticPr fontId="1"/>
  </si>
  <si>
    <t>core(s)</t>
    <phoneticPr fontId="1"/>
  </si>
  <si>
    <t>⑤コンテナGPU（物理）　/　Number of container GPUs</t>
    <rPh sb="9" eb="11">
      <t>ブツリ</t>
    </rPh>
    <phoneticPr fontId="1"/>
  </si>
  <si>
    <t>GPU(s)</t>
    <phoneticPr fontId="1"/>
  </si>
  <si>
    <t>5. Container GPUs</t>
    <phoneticPr fontId="1"/>
  </si>
  <si>
    <t>⑥コンテナ占有クラスタ　/　Dedicated container cluster</t>
    <rPh sb="5" eb="7">
      <t xml:space="preserve">センユウ </t>
    </rPh>
    <phoneticPr fontId="1"/>
  </si>
  <si>
    <t>cluster(s)</t>
    <phoneticPr fontId="1"/>
  </si>
  <si>
    <t>6. Dedicated container cluster</t>
    <phoneticPr fontId="1"/>
  </si>
  <si>
    <t>set(s)</t>
    <phoneticPr fontId="1"/>
  </si>
  <si>
    <t>⑦コンテナ永続ボリューム　/　Total limit of persistent volumes</t>
    <phoneticPr fontId="1"/>
  </si>
  <si>
    <t>TB</t>
    <phoneticPr fontId="1"/>
  </si>
  <si>
    <t>7. Container persistent volumes</t>
    <phoneticPr fontId="1"/>
  </si>
  <si>
    <t>・非HPCI資源（別紙1(2))/Non-HPCI resource (see Appendix 1(2))</t>
    <phoneticPr fontId="1"/>
  </si>
  <si>
    <t>1.大判プリンタ　普通紙/ Large format color printer(Plain paper)</t>
    <rPh sb="9" eb="12">
      <t>フツウシ</t>
    </rPh>
    <phoneticPr fontId="1"/>
  </si>
  <si>
    <t>枚/paper(s)</t>
    <rPh sb="0" eb="1">
      <t>マイ</t>
    </rPh>
    <phoneticPr fontId="1"/>
  </si>
  <si>
    <t>1. Large format color printer(Plain paper)</t>
    <phoneticPr fontId="1"/>
  </si>
  <si>
    <t>paper(s)</t>
    <phoneticPr fontId="1"/>
  </si>
  <si>
    <t>1.大判プリンタ　光沢紙/ Large format color printer(Coated paper)</t>
    <rPh sb="9" eb="12">
      <t>コウタクシ</t>
    </rPh>
    <phoneticPr fontId="1"/>
  </si>
  <si>
    <t>1. Large format color printer(Coated paper)</t>
    <phoneticPr fontId="1"/>
  </si>
  <si>
    <t>1.大判プリンタ　クロス/ Large format color printer(Cloth)</t>
    <phoneticPr fontId="1"/>
  </si>
  <si>
    <t>1. Large format color printer(Cloth)</t>
    <phoneticPr fontId="1"/>
  </si>
  <si>
    <t>東北大学資源利用申請シート/Tohoku University Resource Request Sheet</t>
    <rPh sb="0" eb="2">
      <t>トウホク</t>
    </rPh>
    <phoneticPr fontId="1"/>
  </si>
  <si>
    <t>利用資源料(円)/Usage resource fee(JPY)</t>
    <phoneticPr fontId="1"/>
  </si>
  <si>
    <t>（優先確保HPCI資源小計/Subtotal of high priority HPCI resource)</t>
  </si>
  <si>
    <t>→I（アイ）列より右は非表示の想定</t>
    <rPh sb="6" eb="7">
      <t>レツ</t>
    </rPh>
    <rPh sb="9" eb="10">
      <t>ミギ</t>
    </rPh>
    <rPh sb="11" eb="14">
      <t>ヒヒョウジ</t>
    </rPh>
    <rPh sb="15" eb="17">
      <t>ソウテイ</t>
    </rPh>
    <phoneticPr fontId="1"/>
  </si>
  <si>
    <t>資源量入力フォーム/Resource Input Form</t>
    <phoneticPr fontId="1"/>
  </si>
  <si>
    <t>制限(上限)値/Upper limit of requested quantity</t>
    <rPh sb="0" eb="2">
      <t>セイゲン</t>
    </rPh>
    <rPh sb="3" eb="5">
      <t>ジョウゲン</t>
    </rPh>
    <rPh sb="6" eb="7">
      <t>アタイ</t>
    </rPh>
    <phoneticPr fontId="1"/>
  </si>
  <si>
    <t>利用量/Requested quantity</t>
    <phoneticPr fontId="1"/>
  </si>
  <si>
    <t>①AOBA-A　CPU</t>
    <phoneticPr fontId="1"/>
  </si>
  <si>
    <t>NH</t>
  </si>
  <si>
    <t>②AOBA-B　CPU</t>
    <phoneticPr fontId="1"/>
  </si>
  <si>
    <t>①,②AOBA-A, AOBA-B　共有ストレージ/shared storage</t>
    <rPh sb="18" eb="20">
      <t>キョウユウ</t>
    </rPh>
    <phoneticPr fontId="1"/>
  </si>
  <si>
    <t>TB・年/TB×Year</t>
    <rPh sb="3" eb="4">
      <t>ネン</t>
    </rPh>
    <phoneticPr fontId="1"/>
  </si>
  <si>
    <t>③AOBA-S　CPU</t>
    <phoneticPr fontId="1"/>
  </si>
  <si>
    <t>NH</t>
    <phoneticPr fontId="1"/>
  </si>
  <si>
    <t>③AOBA-S　ストレージ/storage</t>
    <phoneticPr fontId="1"/>
  </si>
  <si>
    <t>・非HPCI資源（別紙1(2))//Non-HPCI resource(see Appendix 1(2))</t>
    <phoneticPr fontId="1"/>
  </si>
  <si>
    <t>①大判プリンター/Large-format printer(光沢紙/glossy paper)</t>
    <rPh sb="30" eb="33">
      <t>コウタクシ</t>
    </rPh>
    <phoneticPr fontId="1"/>
  </si>
  <si>
    <t>枚/sheets</t>
    <rPh sb="0" eb="1">
      <t>マイ</t>
    </rPh>
    <phoneticPr fontId="1"/>
  </si>
  <si>
    <t>②大判プリンター/Large-format printer
    (ソフトクロス紙/softcross paper)</t>
    <rPh sb="41" eb="42">
      <t>カミ</t>
    </rPh>
    <phoneticPr fontId="1"/>
  </si>
  <si>
    <t>東京大学資源利用申請シート/The University of Tokyo Resource Request Sheet</t>
    <rPh sb="0" eb="2">
      <t>トウキョウ</t>
    </rPh>
    <phoneticPr fontId="1"/>
  </si>
  <si>
    <t>→G列より右は非表示の想定</t>
    <rPh sb="2" eb="3">
      <t>レツ</t>
    </rPh>
    <rPh sb="5" eb="6">
      <t>ミギ</t>
    </rPh>
    <rPh sb="7" eb="10">
      <t>ヒヒョウジ</t>
    </rPh>
    <rPh sb="11" eb="13">
      <t>ソウテイ</t>
    </rPh>
    <phoneticPr fontId="1"/>
  </si>
  <si>
    <t>利用量/Requested quantity</t>
  </si>
  <si>
    <t>メッセージ/Message</t>
  </si>
  <si>
    <t>・HPCI資源（別紙1（1）) / 
  HPCI resource (see Appendix 1(1))</t>
    <phoneticPr fontId="1"/>
  </si>
  <si>
    <t>①Wisteria/BDEC-01(Odyssey)</t>
    <phoneticPr fontId="1"/>
  </si>
  <si>
    <t>ノード時間 / Node-Hour</t>
    <rPh sb="3" eb="5">
      <t>ジカン</t>
    </rPh>
    <phoneticPr fontId="1"/>
  </si>
  <si>
    <t>②Wisteria/BDEC-01
   (Aquarius：一般利用 / Shared Use)</t>
    <phoneticPr fontId="1"/>
  </si>
  <si>
    <t>GPU時間 / GPU-Hour</t>
    <rPh sb="3" eb="5">
      <t>ジカン</t>
    </rPh>
    <phoneticPr fontId="1"/>
  </si>
  <si>
    <t>③Wisteria/BDEC-01
   (Aquarius：GPU専有 / Occupied Use)</t>
    <phoneticPr fontId="1"/>
  </si>
  <si>
    <t>④Wisteria/BDEC-01
   (追加ストレージ / Additional Storage)</t>
    <rPh sb="22" eb="24">
      <t>ツイカ</t>
    </rPh>
    <phoneticPr fontId="1"/>
  </si>
  <si>
    <t>⑤Miyabi-G
   (NVIDIA GH200)</t>
    <phoneticPr fontId="1"/>
  </si>
  <si>
    <t>⑥Miyabi-C
   (Intel Xeon Max 9480 HBM only)</t>
    <phoneticPr fontId="1"/>
  </si>
  <si>
    <t>⑦Miyabi-C/Miyabi-G
   (追加ストレージ / Additional Storage)</t>
    <rPh sb="23" eb="25">
      <t>ツイカ</t>
    </rPh>
    <phoneticPr fontId="1"/>
  </si>
  <si>
    <t>東京科学大学資源利用申請シート/Institute of Science Tokyo Resource Request Sheet</t>
    <rPh sb="0" eb="2">
      <t>トウキョウ</t>
    </rPh>
    <rPh sb="2" eb="4">
      <t>カガク</t>
    </rPh>
    <rPh sb="4" eb="6">
      <t>ダイガク</t>
    </rPh>
    <phoneticPr fontId="1"/>
  </si>
  <si>
    <t>利用資源料(円)
  / Usage resource fee(JPY)</t>
    <phoneticPr fontId="1"/>
  </si>
  <si>
    <t>合計/Total</t>
  </si>
  <si>
    <t xml:space="preserve">（資源超過などの有無）/ （Excess of resource limit） </t>
  </si>
  <si>
    <t>①TSUBAME4.0</t>
    <phoneticPr fontId="1"/>
  </si>
  <si>
    <t>計算資源とストレージの合計
  / Sum of Computing resource and Storages</t>
    <rPh sb="0" eb="4">
      <t>ケイサンシゲン</t>
    </rPh>
    <rPh sb="11" eb="13">
      <t>ゴウケイ</t>
    </rPh>
    <phoneticPr fontId="1"/>
  </si>
  <si>
    <t>単位/Unit</t>
  </si>
  <si>
    <t>上限値/Upper limit of requested quantity</t>
    <rPh sb="0" eb="3">
      <t>ジョウゲンチ</t>
    </rPh>
    <phoneticPr fontId="1"/>
  </si>
  <si>
    <t>TSUBAME4.0での単位
  / Unit in TSUBAME4.0</t>
    <rPh sb="12" eb="14">
      <t>タンイ</t>
    </rPh>
    <phoneticPr fontId="1"/>
  </si>
  <si>
    <t>メッセージ
  / Message</t>
    <phoneticPr fontId="1"/>
  </si>
  <si>
    <t>Unitにて切り上げ後/ After Round Up in Unit</t>
    <rPh sb="6" eb="7">
      <t>キ</t>
    </rPh>
    <rPh sb="8" eb="9">
      <t>ア</t>
    </rPh>
    <rPh sb="10" eb="11">
      <t>ゴ</t>
    </rPh>
    <phoneticPr fontId="1"/>
  </si>
  <si>
    <t>Unit</t>
    <phoneticPr fontId="1"/>
  </si>
  <si>
    <t>-</t>
    <phoneticPr fontId="1"/>
  </si>
  <si>
    <t>切り上げ前/Before Round Up</t>
    <rPh sb="0" eb="1">
      <t>キ</t>
    </rPh>
    <rPh sb="2" eb="3">
      <t>ア</t>
    </rPh>
    <rPh sb="4" eb="5">
      <t>マエ</t>
    </rPh>
    <phoneticPr fontId="1"/>
  </si>
  <si>
    <t>計算資源/Computing resources</t>
    <rPh sb="0" eb="2">
      <t>ケイサン</t>
    </rPh>
    <phoneticPr fontId="1"/>
  </si>
  <si>
    <t>全四半期の合算/Sum of All quarter</t>
    <rPh sb="0" eb="1">
      <t>ゼン</t>
    </rPh>
    <rPh sb="1" eb="4">
      <t>シハンキ</t>
    </rPh>
    <rPh sb="5" eb="7">
      <t>ガッサン</t>
    </rPh>
    <phoneticPr fontId="1"/>
  </si>
  <si>
    <t>第１四半期(4-6月)
1st Quarter (Apr - Jun)</t>
    <rPh sb="0" eb="1">
      <t>ダイ</t>
    </rPh>
    <rPh sb="2" eb="5">
      <t>シハンキ</t>
    </rPh>
    <rPh sb="9" eb="10">
      <t>ガツ</t>
    </rPh>
    <phoneticPr fontId="1"/>
  </si>
  <si>
    <t>NH (400NH単位で指定)
NH (Multiples of 400NH)</t>
    <phoneticPr fontId="1"/>
  </si>
  <si>
    <t>第２四半期(7-9月)
2nd Quarter (Jul - Sep)</t>
    <rPh sb="0" eb="1">
      <t>ダイ</t>
    </rPh>
    <rPh sb="2" eb="5">
      <t>シハンキ</t>
    </rPh>
    <rPh sb="9" eb="10">
      <t>ガツ</t>
    </rPh>
    <phoneticPr fontId="1"/>
  </si>
  <si>
    <t>第３四半期(10-12月)
3rd Quarter (Oct  - Dec)</t>
    <rPh sb="0" eb="1">
      <t>ダイ</t>
    </rPh>
    <rPh sb="2" eb="5">
      <t>シハンキ</t>
    </rPh>
    <rPh sb="11" eb="12">
      <t>ガツ</t>
    </rPh>
    <phoneticPr fontId="1"/>
  </si>
  <si>
    <t>第４四半期(1-3月)
4th Quarter (Jan - Mar)</t>
    <rPh sb="0" eb="1">
      <t>ダイ</t>
    </rPh>
    <rPh sb="2" eb="5">
      <t>シハンキ</t>
    </rPh>
    <rPh sb="9" eb="10">
      <t>ガツ</t>
    </rPh>
    <phoneticPr fontId="1"/>
  </si>
  <si>
    <t>ストレージ/Storage resources</t>
    <phoneticPr fontId="1"/>
  </si>
  <si>
    <t>合計 容量/Sum of Capacity</t>
    <rPh sb="0" eb="2">
      <t>ゴウケイ</t>
    </rPh>
    <rPh sb="3" eb="5">
      <t>ヨウリョウ</t>
    </rPh>
    <phoneticPr fontId="1"/>
  </si>
  <si>
    <t>4月当初割当ストレージ(HDD)容量
 Storage capacity (HDD) initially allocated in April</t>
    <rPh sb="1" eb="2">
      <t>ガツ</t>
    </rPh>
    <rPh sb="2" eb="4">
      <t>トウショ</t>
    </rPh>
    <rPh sb="4" eb="6">
      <t>ワリアテ</t>
    </rPh>
    <rPh sb="16" eb="18">
      <t>ヨウリョウ</t>
    </rPh>
    <phoneticPr fontId="1"/>
  </si>
  <si>
    <t>4月当初割当ストレージ(SSD)容量
Storage capacity (SSD) initially allocated in April</t>
    <rPh sb="1" eb="2">
      <t>ガツ</t>
    </rPh>
    <rPh sb="2" eb="4">
      <t>トウショ</t>
    </rPh>
    <rPh sb="4" eb="6">
      <t>ワリアテ</t>
    </rPh>
    <rPh sb="16" eb="18">
      <t>ヨウリョウ</t>
    </rPh>
    <phoneticPr fontId="1"/>
  </si>
  <si>
    <t>GB (100GB単位で指定)
GB (Multiples of 100GB)</t>
    <rPh sb="9" eb="11">
      <t>タンイ</t>
    </rPh>
    <rPh sb="12" eb="14">
      <t>シテイ</t>
    </rPh>
    <phoneticPr fontId="1"/>
  </si>
  <si>
    <t>※ ストレージ容量は利用時に増減可能です/*Storage capacity can be changed after adoption.</t>
    <rPh sb="7" eb="9">
      <t>ヨウリョウ</t>
    </rPh>
    <rPh sb="10" eb="12">
      <t>リヨウ</t>
    </rPh>
    <rPh sb="12" eb="13">
      <t>ジ</t>
    </rPh>
    <rPh sb="14" eb="16">
      <t>ゾウゲン</t>
    </rPh>
    <rPh sb="16" eb="18">
      <t>カノウ</t>
    </rPh>
    <phoneticPr fontId="1"/>
  </si>
  <si>
    <t>名古屋大学資源利用申請シート/Nagoya University Resource Request Sheet</t>
    <rPh sb="0" eb="3">
      <t>ナゴヤ</t>
    </rPh>
    <phoneticPr fontId="1"/>
  </si>
  <si>
    <t>・HPCI資源(別紙1(1))/HPCI resource (see Appendix 1(1))</t>
    <phoneticPr fontId="1"/>
  </si>
  <si>
    <t>①TypeIサブシステム:CPU/ TypeI Subsystem: CPU</t>
    <phoneticPr fontId="1"/>
  </si>
  <si>
    <t>②TypeIIサブシステム:GPU/TypeII Subsystem: GPU</t>
    <phoneticPr fontId="1"/>
  </si>
  <si>
    <t>③ホットストレージ/Hot Storage</t>
    <phoneticPr fontId="1"/>
  </si>
  <si>
    <t>TB年/TB×Year</t>
    <rPh sb="2" eb="3">
      <t>ネン</t>
    </rPh>
    <phoneticPr fontId="1"/>
  </si>
  <si>
    <t>④ノード占有利用（TypeIIサブシステム）/TypeII Subsystem node Occupied
ノード数と利用月を入力してください/input number for 'Unit' and use 'Month'</t>
    <rPh sb="78" eb="80">
      <t>ダイスウ</t>
    </rPh>
    <rPh sb="81" eb="83">
      <t>リヨウ</t>
    </rPh>
    <rPh sb="83" eb="84">
      <t>ツキ</t>
    </rPh>
    <rPh sb="85" eb="87">
      <t>ニュウリョク</t>
    </rPh>
    <phoneticPr fontId="1"/>
  </si>
  <si>
    <t>ノード/Unit</t>
    <phoneticPr fontId="1"/>
  </si>
  <si>
    <t>利用月/use　Month</t>
    <rPh sb="0" eb="2">
      <t>リヨウ</t>
    </rPh>
    <rPh sb="2" eb="3">
      <t>ツキ</t>
    </rPh>
    <phoneticPr fontId="1"/>
  </si>
  <si>
    <t>・非HPCI資源(別紙1(2))/Non-HPCI resource(see Appendix 1(2))</t>
    <phoneticPr fontId="1"/>
  </si>
  <si>
    <t>③可視化システム/ Visualization System</t>
    <rPh sb="1" eb="4">
      <t>カシカ</t>
    </rPh>
    <phoneticPr fontId="1"/>
  </si>
  <si>
    <t>式年/Set x Year</t>
    <rPh sb="0" eb="1">
      <t>シキ</t>
    </rPh>
    <rPh sb="1" eb="2">
      <t>ネン</t>
    </rPh>
    <phoneticPr fontId="1"/>
  </si>
  <si>
    <t>大阪大学資源利用申請シート/The University of Osaka Resource Request Sheet</t>
    <rPh sb="0" eb="2">
      <t>オオサカ</t>
    </rPh>
    <phoneticPr fontId="1"/>
  </si>
  <si>
    <t>OCTOPUS</t>
    <phoneticPr fontId="1"/>
  </si>
  <si>
    <t>OCTOPUS</t>
  </si>
  <si>
    <t>消費係数x季節係数</t>
    <rPh sb="0" eb="2">
      <t>ショウヒ</t>
    </rPh>
    <rPh sb="2" eb="4">
      <t>ケイスウ</t>
    </rPh>
    <rPh sb="5" eb="7">
      <t>キセツ</t>
    </rPh>
    <rPh sb="7" eb="9">
      <t>ケイスウ</t>
    </rPh>
    <phoneticPr fontId="1"/>
  </si>
  <si>
    <t>SQUID/OCTOPUSポイント</t>
    <phoneticPr fontId="1"/>
  </si>
  <si>
    <t>利用資源料(円)</t>
  </si>
  <si>
    <t>センター内メモ</t>
    <rPh sb="4" eb="5">
      <t>ナイ</t>
    </rPh>
    <phoneticPr fontId="1"/>
  </si>
  <si>
    <t>汎用CPUノード群 [共有利用]/
General purpose CPU nodes [shared use]</t>
    <rPh sb="0" eb="2">
      <t>ハンヨウ</t>
    </rPh>
    <rPh sb="8" eb="9">
      <t>グン</t>
    </rPh>
    <rPh sb="11" eb="13">
      <t>キョウユウ</t>
    </rPh>
    <rPh sb="13" eb="15">
      <t>リヨウ</t>
    </rPh>
    <phoneticPr fontId="1"/>
  </si>
  <si>
    <t>ノード時間 / Node Hour</t>
  </si>
  <si>
    <t>汎用CPUノード群</t>
    <rPh sb="0" eb="2">
      <t>ハンヨウ</t>
    </rPh>
    <rPh sb="8" eb="9">
      <t>グン</t>
    </rPh>
    <phoneticPr fontId="1"/>
  </si>
  <si>
    <t>300万円を上限とした。22ノード年程度</t>
    <rPh sb="3" eb="5">
      <t>マンエン</t>
    </rPh>
    <rPh sb="6" eb="8">
      <t>ジョウゲン</t>
    </rPh>
    <rPh sb="17" eb="18">
      <t>ネン</t>
    </rPh>
    <rPh sb="18" eb="20">
      <t>テイド</t>
    </rPh>
    <phoneticPr fontId="1"/>
  </si>
  <si>
    <t>GPUノード群 [共有利用]/GPU nodes [shared use]</t>
    <rPh sb="6" eb="7">
      <t>グン</t>
    </rPh>
    <phoneticPr fontId="1"/>
  </si>
  <si>
    <t>GPUノード群</t>
    <rPh sb="6" eb="7">
      <t>グン</t>
    </rPh>
    <phoneticPr fontId="1"/>
  </si>
  <si>
    <t>300万円を上限とした。5ノード年程度</t>
    <rPh sb="3" eb="4">
      <t>マン</t>
    </rPh>
    <rPh sb="4" eb="5">
      <t>エン</t>
    </rPh>
    <rPh sb="6" eb="8">
      <t>ジョウゲン</t>
    </rPh>
    <rPh sb="16" eb="17">
      <t>ネン</t>
    </rPh>
    <rPh sb="17" eb="19">
      <t>テイド</t>
    </rPh>
    <phoneticPr fontId="1"/>
  </si>
  <si>
    <t>Xeon Phiノード群 [共有利用]/Xeon Phi nodes [shared use]</t>
    <rPh sb="11" eb="12">
      <t>グン</t>
    </rPh>
    <phoneticPr fontId="1"/>
  </si>
  <si>
    <t>XeonPhiノード群</t>
    <rPh sb="10" eb="11">
      <t>グン</t>
    </rPh>
    <phoneticPr fontId="1"/>
  </si>
  <si>
    <t>300万円相当まで提供すると、ノードの大半を提供することになる。22ノード年程度に抑えた</t>
    <rPh sb="3" eb="5">
      <t>マンエン</t>
    </rPh>
    <rPh sb="5" eb="7">
      <t>ソウトウ</t>
    </rPh>
    <rPh sb="9" eb="11">
      <t>テイキョウ</t>
    </rPh>
    <rPh sb="19" eb="21">
      <t>タイハン</t>
    </rPh>
    <rPh sb="22" eb="24">
      <t>テイキョウ</t>
    </rPh>
    <rPh sb="37" eb="38">
      <t>ネン</t>
    </rPh>
    <rPh sb="38" eb="40">
      <t>テイド</t>
    </rPh>
    <rPh sb="41" eb="42">
      <t>オサ</t>
    </rPh>
    <phoneticPr fontId="1"/>
  </si>
  <si>
    <t>大容量主記憶搭載ノード群 [共有利用]/
Large-scale shared-memory nodes [shared use]</t>
    <rPh sb="0" eb="3">
      <t>ダイヨウリョウ</t>
    </rPh>
    <rPh sb="3" eb="6">
      <t>シュキオク</t>
    </rPh>
    <rPh sb="6" eb="8">
      <t>トウサイ</t>
    </rPh>
    <rPh sb="11" eb="12">
      <t>グン</t>
    </rPh>
    <phoneticPr fontId="1"/>
  </si>
  <si>
    <t>大容量主記憶搭載ノード群</t>
    <rPh sb="0" eb="3">
      <t>ダイヨウリョウ</t>
    </rPh>
    <rPh sb="3" eb="6">
      <t>シュキオク</t>
    </rPh>
    <rPh sb="6" eb="8">
      <t>トウサイ</t>
    </rPh>
    <rPh sb="11" eb="12">
      <t>グン</t>
    </rPh>
    <phoneticPr fontId="1"/>
  </si>
  <si>
    <t>300万円相当まで提供すると、ノード数以上に提供してしまう。0.34ノード年程度に抑えた</t>
    <rPh sb="3" eb="4">
      <t>マン</t>
    </rPh>
    <rPh sb="4" eb="5">
      <t>エン</t>
    </rPh>
    <rPh sb="5" eb="7">
      <t>ソウトウ</t>
    </rPh>
    <rPh sb="9" eb="11">
      <t>テイキョウ</t>
    </rPh>
    <rPh sb="18" eb="19">
      <t>スウ</t>
    </rPh>
    <rPh sb="19" eb="21">
      <t>イジョウ</t>
    </rPh>
    <rPh sb="22" eb="24">
      <t>テイキョウ</t>
    </rPh>
    <rPh sb="37" eb="38">
      <t>ネン</t>
    </rPh>
    <rPh sb="38" eb="40">
      <t>テイド</t>
    </rPh>
    <rPh sb="41" eb="42">
      <t>オサ</t>
    </rPh>
    <phoneticPr fontId="1"/>
  </si>
  <si>
    <t>ストレージ/Storage(HDD)</t>
    <phoneticPr fontId="1"/>
  </si>
  <si>
    <t>TB・年 / TB x Year</t>
  </si>
  <si>
    <t>ストレージ(HDD)</t>
  </si>
  <si>
    <t>SQUID</t>
    <phoneticPr fontId="1"/>
  </si>
  <si>
    <t>優先確保資源/
High Priority Resource</t>
    <rPh sb="0" eb="4">
      <t>ユウセンカクホ</t>
    </rPh>
    <rPh sb="4" eb="6">
      <t>シゲン</t>
    </rPh>
    <phoneticPr fontId="1"/>
  </si>
  <si>
    <t>利用資源料(円)/
Usage resource fee(JPY)</t>
  </si>
  <si>
    <t>SQUID</t>
  </si>
  <si>
    <t>消費係数x季節係数x燃料係数</t>
    <rPh sb="0" eb="2">
      <t>ショウヒ</t>
    </rPh>
    <rPh sb="2" eb="4">
      <t>ケイスウ</t>
    </rPh>
    <rPh sb="5" eb="7">
      <t>キセツ</t>
    </rPh>
    <rPh sb="7" eb="9">
      <t>ケイスウ</t>
    </rPh>
    <rPh sb="10" eb="12">
      <t>ネンリョウ</t>
    </rPh>
    <rPh sb="12" eb="14">
      <t>ケイスウ</t>
    </rPh>
    <phoneticPr fontId="1"/>
  </si>
  <si>
    <t>ポイント</t>
    <phoneticPr fontId="1"/>
  </si>
  <si>
    <t>汎用CPUノード群 [占有利用]
General purpose CPU nodes [dedicated use]</t>
    <rPh sb="0" eb="2">
      <t>ハンヨウ</t>
    </rPh>
    <rPh sb="8" eb="9">
      <t>グン</t>
    </rPh>
    <rPh sb="11" eb="13">
      <t>センユウ</t>
    </rPh>
    <phoneticPr fontId="1"/>
  </si>
  <si>
    <t>ノード・月 / Node Month</t>
  </si>
  <si>
    <t>汎用CPUノード群　占有</t>
    <rPh sb="0" eb="2">
      <t>ハンヨウ</t>
    </rPh>
    <rPh sb="8" eb="9">
      <t>グン</t>
    </rPh>
    <rPh sb="10" eb="12">
      <t>センユウ</t>
    </rPh>
    <phoneticPr fontId="1"/>
  </si>
  <si>
    <t>300万円を上限とした。ノード月で計上</t>
    <rPh sb="15" eb="16">
      <t>ツキ</t>
    </rPh>
    <rPh sb="17" eb="19">
      <t>ケイジョウ</t>
    </rPh>
    <phoneticPr fontId="1"/>
  </si>
  <si>
    <t>汎用CPUノード群 [共有利用]
General purpose CPU nodes [shared use]</t>
    <rPh sb="0" eb="2">
      <t>ハンヨウ</t>
    </rPh>
    <rPh sb="8" eb="9">
      <t>グン</t>
    </rPh>
    <phoneticPr fontId="1"/>
  </si>
  <si>
    <t>300万円を上限とした。</t>
    <phoneticPr fontId="1"/>
  </si>
  <si>
    <t>ベクトルノード群 [共有利用]/Vector nodes [shared use]</t>
    <rPh sb="7" eb="8">
      <t>グン</t>
    </rPh>
    <phoneticPr fontId="1"/>
  </si>
  <si>
    <t>ベクトルノード群</t>
    <rPh sb="7" eb="8">
      <t>グン</t>
    </rPh>
    <phoneticPr fontId="1"/>
  </si>
  <si>
    <t>TB・年 / TB x Year</t>
    <phoneticPr fontId="1"/>
  </si>
  <si>
    <t>ストレージ(HDD)</t>
    <phoneticPr fontId="1"/>
  </si>
  <si>
    <t>ストレージ/Storage(SSD)</t>
    <phoneticPr fontId="1"/>
  </si>
  <si>
    <t>ストレージ(SSD)</t>
    <phoneticPr fontId="1"/>
  </si>
  <si>
    <t>ONION</t>
    <phoneticPr fontId="1"/>
  </si>
  <si>
    <t>ONION</t>
  </si>
  <si>
    <t>オブジェクトストレージ/Object Storage</t>
    <phoneticPr fontId="1"/>
  </si>
  <si>
    <t>オブジェクトストレージ</t>
  </si>
  <si>
    <t>京都大学資源利用申請シート/Kyoto University Resource Request Sheet</t>
    <rPh sb="0" eb="2">
      <t>キョウト</t>
    </rPh>
    <phoneticPr fontId="1"/>
  </si>
  <si>
    <t>HPCI資源(別紙１(１))/HPCI resource (see Appendix 1(1))</t>
    <rPh sb="4" eb="6">
      <t>シゲン</t>
    </rPh>
    <rPh sb="7" eb="9">
      <t>ベッシ</t>
    </rPh>
    <phoneticPr fontId="1"/>
  </si>
  <si>
    <t>①通年利用 / ①Year-round use</t>
  </si>
  <si>
    <t>②集中利用 / ②Intensive use 
※1週間単位での利用を想定しています/The service is intended to be used on a weekly basis.</t>
    <rPh sb="26" eb="30">
      <t>シュウカンタンイ</t>
    </rPh>
    <rPh sb="32" eb="34">
      <t>リヨウ</t>
    </rPh>
    <rPh sb="35" eb="37">
      <t>ソウテイ</t>
    </rPh>
    <phoneticPr fontId="1"/>
  </si>
  <si>
    <t>③ストレージ / ③Storage</t>
  </si>
  <si>
    <t>④高速ストレージ/④Flash Storage</t>
    <rPh sb="1" eb="3">
      <t>コウソク</t>
    </rPh>
    <phoneticPr fontId="1"/>
  </si>
  <si>
    <t>非HPCI資源(別紙１(２)) / Non-HPCI resource (see Appendix 1(2))</t>
    <phoneticPr fontId="1"/>
  </si>
  <si>
    <t>仮想サーバホスティング標準構成(CPU2コア,メモリ4GB,ディスク100GB)/
Virtual Server Hosting:Standard config.(CPU 2core, Memory 4GB, Disk 100GB)</t>
    <phoneticPr fontId="1"/>
  </si>
  <si>
    <t>VM</t>
    <phoneticPr fontId="1"/>
  </si>
  <si>
    <t>資源増量①CPU / Increased resources①CPU</t>
  </si>
  <si>
    <t>コア / Core</t>
    <phoneticPr fontId="1"/>
  </si>
  <si>
    <t>資源増量②メモリ / Increased resources②Memory</t>
  </si>
  <si>
    <t>GB</t>
    <phoneticPr fontId="1"/>
  </si>
  <si>
    <t>資源増量③ディスク / Increased resources③Disk</t>
  </si>
  <si>
    <t>コア / Core</t>
  </si>
  <si>
    <t>仮想サーバホスティング標準構成(CPU2コア,メモリ4GB,ディスク100GB)/
Virtual Server Hosting:Standard config.(CPU 2core, Memory 4GB, Disk 100GB)</t>
  </si>
  <si>
    <t>HPCI資源 / HPCI resource</t>
  </si>
  <si>
    <t>※集中利用の最小は8ノード、追加は2ノード単位です。 / Note: Minimum of 8 nodes for Intensive use, additional nodes in increments of 2</t>
  </si>
  <si>
    <t>※集中利用は1週間単位の利用を想定しています。/ Note: The service is intended to be used on a weekly basis.</t>
    <rPh sb="1" eb="5">
      <t>シュウチュウリヨウ</t>
    </rPh>
    <rPh sb="7" eb="11">
      <t>シュウカンタンイ</t>
    </rPh>
    <rPh sb="12" eb="14">
      <t>リヨウ</t>
    </rPh>
    <rPh sb="15" eb="17">
      <t>ソウテイ</t>
    </rPh>
    <phoneticPr fontId="1"/>
  </si>
  <si>
    <t>※最低10TBのストレージを保証します。通年利用場合、ノード時間に応じて利用可能なストレージは増加します。 / Note: A minimum of 10 TB of storage is guaranteed for full-year users. Available storage increases with adopted node hours.</t>
  </si>
  <si>
    <t>※ストレージは10TB単位で追加可能です。 / Note: Storage can be added in 10TB increments.</t>
  </si>
  <si>
    <t>非HPCI資源 / Non-HPCI resource</t>
  </si>
  <si>
    <t>※仮想サーバホスティングを利用する場合は「仮想サーバホスティング標準構成」の利用量に「1」を記入してください。 / Note: If virtual server hosting is used, enter "1" in the "Virtual Server Hosting Standard Configuration" Requested quantity</t>
  </si>
  <si>
    <t>※CPU増量は2コア単位で、1VMあたり合計最大8コア / Note: CPU increase is in units of 2 cores, up to a total of 8 cores per 1 VM.</t>
  </si>
  <si>
    <t>※メモリ増量は4GB単位で、1VMあたり最大64GB / Note: Memory increments are in increments of 4GB, with a maximum of 64GB per 1 VM.</t>
  </si>
  <si>
    <t>※ディスク増量は100GB単位で、1VMあたり最大1TB / Note: Disk increments are in 100GB increments, up to 1TB per VM.</t>
  </si>
  <si>
    <t>※全ての課題で提供可能な資源量は合計CPU32コア、メモリ256GB、ディスク8TBです。 / Note: The total amount of resources that can be provided for all assignments is 32 CPU cores, 256 GB of memory, and 8 TB of disk.</t>
  </si>
  <si>
    <t>※資源増量として採択された資源の割り振りについては，採択後に応相談． / Note: The allocation of resources adopted as increased resources will be discussed after the adoption.</t>
  </si>
  <si>
    <t>九州大学資源利用申請シート/Kyushu University Resource Request Sheet</t>
    <rPh sb="0" eb="2">
      <t>キュウシュウ</t>
    </rPh>
    <phoneticPr fontId="1"/>
  </si>
  <si>
    <t>黄色セルに記入してください（申請しない場合は空白のままとすること）</t>
    <rPh sb="0" eb="2">
      <t>キイロ</t>
    </rPh>
    <rPh sb="5" eb="7">
      <t>キニュウ</t>
    </rPh>
    <rPh sb="14" eb="16">
      <t>シンセイ</t>
    </rPh>
    <rPh sb="19" eb="21">
      <t>バアイ</t>
    </rPh>
    <rPh sb="22" eb="24">
      <t>クウハク</t>
    </rPh>
    <phoneticPr fontId="1"/>
  </si>
  <si>
    <t>Please input in yellow cells(If you will not request, leave it blank)</t>
    <phoneticPr fontId="1"/>
  </si>
  <si>
    <r>
      <t>　利用期間（月数[※通年の場合は12(=12ヵ月)]を選択）
　</t>
    </r>
    <r>
      <rPr>
        <sz val="10"/>
        <color rgb="FFFF0000"/>
        <rFont val="游ゴシック"/>
        <family val="3"/>
        <charset val="128"/>
        <scheme val="minor"/>
      </rPr>
      <t>*複数の資源を希望する場合は利用期間を共通としてください。</t>
    </r>
    <r>
      <rPr>
        <sz val="10"/>
        <color theme="1"/>
        <rFont val="游ゴシック"/>
        <family val="3"/>
        <charset val="128"/>
        <scheme val="minor"/>
      </rPr>
      <t xml:space="preserve">
   Use Term（months[*In case of a year use, Select "12"(12months)]）
　</t>
    </r>
    <r>
      <rPr>
        <sz val="10"/>
        <color rgb="FFFF0000"/>
        <rFont val="游ゴシック"/>
        <family val="3"/>
        <charset val="128"/>
        <scheme val="minor"/>
      </rPr>
      <t>*If you wish to use multiple resources, please use a common usage period.</t>
    </r>
    <rPh sb="1" eb="5">
      <t>リヨウキカン</t>
    </rPh>
    <rPh sb="6" eb="8">
      <t>ツキスウ</t>
    </rPh>
    <rPh sb="10" eb="12">
      <t>ツウネン</t>
    </rPh>
    <rPh sb="13" eb="15">
      <t>バアイ</t>
    </rPh>
    <rPh sb="23" eb="24">
      <t>ゲツ</t>
    </rPh>
    <rPh sb="27" eb="29">
      <t>センタク</t>
    </rPh>
    <phoneticPr fontId="1"/>
  </si>
  <si>
    <t>月数/months</t>
    <rPh sb="0" eb="2">
      <t>ツキスウ</t>
    </rPh>
    <phoneticPr fontId="1"/>
  </si>
  <si>
    <t>①ノードグループA/NodeGroup A</t>
    <phoneticPr fontId="1"/>
  </si>
  <si>
    <t>　1.1【ノード固定 最大8ノード】/
        【Max. 8 nodes(Fixed-node)】</t>
    <rPh sb="11" eb="13">
      <t>サイダイ</t>
    </rPh>
    <phoneticPr fontId="1"/>
  </si>
  <si>
    <t>ノード
Nodes</t>
    <phoneticPr fontId="1"/>
  </si>
  <si>
    <t>　1.2【 共有　最大16,000ノード時間積 】/
        【Max. 16,000 Node-Hour(Shared-use)】</t>
    <rPh sb="6" eb="8">
      <t>キョウユウ</t>
    </rPh>
    <rPh sb="9" eb="11">
      <t>サイダイ</t>
    </rPh>
    <rPh sb="20" eb="23">
      <t>ジカンセキ</t>
    </rPh>
    <phoneticPr fontId="1"/>
  </si>
  <si>
    <t>ノード時間積
Node-Hour</t>
    <rPh sb="3" eb="5">
      <t>ジカン</t>
    </rPh>
    <rPh sb="5" eb="6">
      <t>セキ</t>
    </rPh>
    <phoneticPr fontId="1"/>
  </si>
  <si>
    <t>➁ノードグループB/NodeGroup B</t>
    <phoneticPr fontId="1"/>
  </si>
  <si>
    <t>　2【 共有　最大4,000ノード時間積 】/
　【Max. 4,000 Node-Hour(Shared-use)】</t>
    <rPh sb="4" eb="6">
      <t>キョウユウ</t>
    </rPh>
    <rPh sb="7" eb="9">
      <t>サイダイ</t>
    </rPh>
    <rPh sb="17" eb="20">
      <t>ジカンセキ</t>
    </rPh>
    <phoneticPr fontId="1"/>
  </si>
  <si>
    <t xml:space="preserve">大容量ストレージ【10TB単位】/Storage【10TB Unit】
</t>
    <rPh sb="0" eb="3">
      <t>ダイヨウリョウ</t>
    </rPh>
    <rPh sb="13" eb="15">
      <t>タンイ</t>
    </rPh>
    <phoneticPr fontId="1"/>
  </si>
  <si>
    <t xml:space="preserve">高速ストレージ【1TB単位】/Storage【1TB Unit】
</t>
    <rPh sb="0" eb="2">
      <t>コウソク</t>
    </rPh>
    <rPh sb="11" eb="13">
      <t>タンイ</t>
    </rPh>
    <phoneticPr fontId="1"/>
  </si>
  <si>
    <t>mdx資源利用申請シート/mdx system Resource Request Sheet</t>
    <phoneticPr fontId="1"/>
  </si>
  <si>
    <t>HPCI資源小計/HPCI Resource Subtotal</t>
    <rPh sb="6" eb="8">
      <t>ショウケイ</t>
    </rPh>
    <phoneticPr fontId="1"/>
  </si>
  <si>
    <t>非HPCI資源小計/Non HPCI Resource Subtotal</t>
    <rPh sb="0" eb="1">
      <t>ヒ</t>
    </rPh>
    <rPh sb="7" eb="9">
      <t>ショウケイ</t>
    </rPh>
    <phoneticPr fontId="1"/>
  </si>
  <si>
    <t>mdx資源を利用する場合は、以下セルにて利用の方法 (mdx I のみ利用、mdx II のみ利用、 mdx I + mdx II のどちらも利用) を選択してください</t>
  </si>
  <si>
    <t>When using mdx resources, please select one of the following options:  "Use mdx I only", "Use mdx II only",  or "Use both mdx I &amp; mdx II".</t>
  </si>
  <si>
    <t>利用しない / Not Use</t>
  </si>
  <si>
    <t>研究課題１</t>
    <rPh sb="0" eb="2">
      <t>ケンキュウ</t>
    </rPh>
    <rPh sb="2" eb="4">
      <t>カダイ</t>
    </rPh>
    <phoneticPr fontId="1"/>
  </si>
  <si>
    <t>Research Theme 1</t>
  </si>
  <si>
    <t>研究課題1の研究開発を行う</t>
    <rPh sb="0" eb="4">
      <t>ケンキュウカダイ</t>
    </rPh>
    <rPh sb="6" eb="10">
      <t>ケンキュウカイハツ</t>
    </rPh>
    <rPh sb="11" eb="12">
      <t>オコナ</t>
    </rPh>
    <phoneticPr fontId="1"/>
  </si>
  <si>
    <t>大規模計算科学分野/Computational science</t>
  </si>
  <si>
    <t>○</t>
  </si>
  <si>
    <t>継続課題/Continued project</t>
  </si>
  <si>
    <t>jh250099</t>
    <phoneticPr fontId="1"/>
  </si>
  <si>
    <t>小区分60090_高性能計算関連_High_Performance_Computing</t>
  </si>
  <si>
    <t>並列処理/Parallel Processing</t>
  </si>
  <si>
    <t>学際研究大学　学際研究センター</t>
    <rPh sb="0" eb="2">
      <t>ガクサイ</t>
    </rPh>
    <rPh sb="2" eb="4">
      <t>ケンキュウ</t>
    </rPh>
    <rPh sb="4" eb="6">
      <t>ダイガク</t>
    </rPh>
    <rPh sb="7" eb="9">
      <t>ガクサイ</t>
    </rPh>
    <rPh sb="9" eb="11">
      <t>ケンキュウ</t>
    </rPh>
    <phoneticPr fontId="1"/>
  </si>
  <si>
    <t xml:space="preserve">Interdisciplinary Research Center, Interdisciplinary Research University  </t>
  </si>
  <si>
    <t>学際太郎</t>
    <rPh sb="0" eb="2">
      <t>ガクサイ</t>
    </rPh>
    <rPh sb="2" eb="4">
      <t>タロウ</t>
    </rPh>
    <phoneticPr fontId="1"/>
  </si>
  <si>
    <t>Taro Gakusai</t>
  </si>
  <si>
    <t>教授</t>
    <rPh sb="0" eb="2">
      <t>キョウジュ</t>
    </rPh>
    <phoneticPr fontId="1"/>
  </si>
  <si>
    <t>111-1111</t>
  </si>
  <si>
    <t>東京都○○区○○</t>
    <rPh sb="0" eb="3">
      <t>トウキョウト</t>
    </rPh>
    <rPh sb="5" eb="6">
      <t>ク</t>
    </rPh>
    <phoneticPr fontId="1"/>
  </si>
  <si>
    <t>taro.gakusai@irc.iru.ac.jp</t>
  </si>
  <si>
    <t>03-9999-9999</t>
  </si>
  <si>
    <t>学際夕子</t>
    <rPh sb="0" eb="2">
      <t>ガクサイ</t>
    </rPh>
    <rPh sb="2" eb="4">
      <t>ユウコ</t>
    </rPh>
    <phoneticPr fontId="1"/>
  </si>
  <si>
    <t>助教</t>
    <rPh sb="0" eb="2">
      <t>ジョキョウ</t>
    </rPh>
    <phoneticPr fontId="1"/>
  </si>
  <si>
    <t>yuko.gakusai@irc.iru.ac.jp</t>
    <phoneticPr fontId="1"/>
  </si>
  <si>
    <t>03-9999-8888</t>
  </si>
  <si>
    <t>Research and develop Theme1.</t>
  </si>
  <si>
    <t>jh250099</t>
  </si>
  <si>
    <t>Professor</t>
  </si>
  <si>
    <t>XX, YY-ku, Tokyo</t>
  </si>
  <si>
    <t>Yuko Gakusai</t>
    <phoneticPr fontId="1"/>
  </si>
  <si>
    <t>Assistant Professor</t>
    <phoneticPr fontId="1"/>
  </si>
  <si>
    <t>学際研究大学 学際研究センター</t>
    <rPh sb="0" eb="2">
      <t>ガクサイ</t>
    </rPh>
    <rPh sb="2" eb="4">
      <t>ケンキュウ</t>
    </rPh>
    <rPh sb="4" eb="6">
      <t>ダイガク</t>
    </rPh>
    <rPh sb="7" eb="9">
      <t>ガクサイ</t>
    </rPh>
    <rPh sb="9" eb="11">
      <t>ケンキュウ</t>
    </rPh>
    <phoneticPr fontId="1"/>
  </si>
  <si>
    <t>研究総括</t>
    <rPh sb="0" eb="4">
      <t>ケンキュウソウカツ</t>
    </rPh>
    <phoneticPr fontId="1"/>
  </si>
  <si>
    <t>00001111</t>
  </si>
  <si>
    <t>01111</t>
  </si>
  <si>
    <t>学際次郎</t>
    <rPh sb="0" eb="2">
      <t>ガクサイ</t>
    </rPh>
    <rPh sb="2" eb="4">
      <t>ジロウ</t>
    </rPh>
    <phoneticPr fontId="1"/>
  </si>
  <si>
    <t>北海道大学 情報基盤センター / Information Initiative Center, Hokkaido University</t>
  </si>
  <si>
    <t>結果確認</t>
    <rPh sb="0" eb="2">
      <t>ケッカ</t>
    </rPh>
    <rPh sb="2" eb="4">
      <t>カクニン</t>
    </rPh>
    <phoneticPr fontId="1"/>
  </si>
  <si>
    <t>12345678</t>
  </si>
  <si>
    <t>12344</t>
  </si>
  <si>
    <t>学際花子</t>
    <rPh sb="0" eb="4">
      <t>ガクサイハナコ</t>
    </rPh>
    <phoneticPr fontId="1"/>
  </si>
  <si>
    <t>コード検証</t>
    <rPh sb="3" eb="5">
      <t>ケンショウ</t>
    </rPh>
    <phoneticPr fontId="1"/>
  </si>
  <si>
    <t>01010101</t>
  </si>
  <si>
    <t>22223</t>
  </si>
  <si>
    <t>学際三郎</t>
    <rPh sb="0" eb="4">
      <t>ガクサイサブロウ</t>
    </rPh>
    <phoneticPr fontId="1"/>
  </si>
  <si>
    <t>東京大学 情報基盤センター / Information Technology Center,  The University of Tokyo</t>
  </si>
  <si>
    <t>コード開発</t>
    <rPh sb="3" eb="5">
      <t>カイハツ</t>
    </rPh>
    <phoneticPr fontId="1"/>
  </si>
  <si>
    <t>02341234</t>
  </si>
  <si>
    <t>33333</t>
  </si>
  <si>
    <t>学際和子</t>
    <rPh sb="0" eb="2">
      <t>ガクサイ</t>
    </rPh>
    <rPh sb="2" eb="4">
      <t>カズコ</t>
    </rPh>
    <phoneticPr fontId="1"/>
  </si>
  <si>
    <t>大学院生 / Graduate student</t>
  </si>
  <si>
    <t>東京大学 学際研究センター</t>
    <rPh sb="0" eb="4">
      <t>トウキョウダイガク</t>
    </rPh>
    <rPh sb="5" eb="9">
      <t>ガクサイケンキュウ</t>
    </rPh>
    <phoneticPr fontId="1"/>
  </si>
  <si>
    <t>11111111</t>
  </si>
  <si>
    <t>44444</t>
  </si>
  <si>
    <t>学際四郎</t>
    <rPh sb="0" eb="2">
      <t>ガクサイ</t>
    </rPh>
    <rPh sb="2" eb="4">
      <t>シロウ</t>
    </rPh>
    <phoneticPr fontId="1"/>
  </si>
  <si>
    <t>Administration</t>
  </si>
  <si>
    <t>Jiro Gakusai</t>
  </si>
  <si>
    <t>Result Confirmation</t>
  </si>
  <si>
    <t>Hanako Gakusai</t>
  </si>
  <si>
    <t>Code Verification</t>
  </si>
  <si>
    <t>Saburo Gakusai</t>
  </si>
  <si>
    <t>Code Development</t>
  </si>
  <si>
    <t>Kazuko Gakusai</t>
  </si>
  <si>
    <t xml:space="preserve">Interdisciplinary Research Center, The University of Tokyo  </t>
  </si>
  <si>
    <t>Shiro Gakusai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</si>
</sst>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quot;¥&quot;#,##0;&quot;¥&quot;\-#,##0"/>
    <numFmt numFmtId="176" formatCode="#,###&quot;TB&quot;"/>
    <numFmt numFmtId="177" formatCode="#,###&quot;枚/paper(s)&quot;"/>
    <numFmt numFmtId="178" formatCode="#,##0_ "/>
    <numFmt numFmtId="179" formatCode="#,##0.000000;[Red]\-#,##0.000000"/>
    <numFmt numFmtId="180" formatCode="#,##0.00_ ;[Red]\-#,##0.00\ "/>
    <numFmt numFmtId="181" formatCode="0.0%"/>
    <numFmt numFmtId="182" formatCode="0_ "/>
    <numFmt numFmtId="183" formatCode="0.00_ "/>
    <numFmt numFmtId="184" formatCode="#,##0.000;[Red]\-#,##0.000"/>
    <numFmt numFmtId="185" formatCode="#,##0.0_ ;[Red]\-#,##0.0\ "/>
    <numFmt numFmtId="186" formatCode="#,##0.0;[Red]\-#,##0.0"/>
    <numFmt numFmtId="187" formatCode="#,###&quot;GH&quot;"/>
    <numFmt numFmtId="188" formatCode="#,###&quot; core(s)&quot;"/>
    <numFmt numFmtId="189" formatCode="#,###&quot; GPU(s)&quot;"/>
    <numFmt numFmtId="190" formatCode="#,###&quot; set(s)&quot;"/>
    <numFmt numFmtId="191" formatCode="#,###&quot;CH&quot;"/>
    <numFmt numFmtId="192" formatCode="#,###&quot; vCore(s)&quot;"/>
    <numFmt numFmtId="193" formatCode="#,###&quot; cluster(s)&quot;"/>
    <numFmt numFmtId="194" formatCode="#,###&quot;paper(s)&quot;"/>
  </numFmts>
  <fonts count="96">
    <font>
      <sz val="11"/>
      <color theme="1"/>
      <name val="游ゴシック"/>
      <family val="2"/>
      <charset val="128"/>
      <scheme val="minor"/>
    </font>
    <font>
      <sz val="6"/>
      <name val="游ゴシック"/>
      <family val="2"/>
      <charset val="128"/>
      <scheme val="minor"/>
    </font>
    <font>
      <sz val="11"/>
      <color theme="1"/>
      <name val="游ゴシック"/>
      <family val="2"/>
      <scheme val="minor"/>
    </font>
    <font>
      <sz val="11"/>
      <name val="ＭＳ Ｐゴシック"/>
      <family val="3"/>
      <charset val="128"/>
    </font>
    <font>
      <sz val="11"/>
      <name val="游ゴシック"/>
      <family val="2"/>
      <charset val="128"/>
      <scheme val="minor"/>
    </font>
    <font>
      <sz val="10"/>
      <name val="游ゴシック"/>
      <family val="2"/>
      <charset val="128"/>
      <scheme val="minor"/>
    </font>
    <font>
      <sz val="10"/>
      <name val="游ゴシック"/>
      <family val="3"/>
      <charset val="128"/>
      <scheme val="minor"/>
    </font>
    <font>
      <sz val="8"/>
      <name val="游ゴシック"/>
      <family val="3"/>
      <charset val="128"/>
      <scheme val="minor"/>
    </font>
    <font>
      <sz val="9"/>
      <name val="游ゴシック"/>
      <family val="3"/>
      <charset val="128"/>
      <scheme val="minor"/>
    </font>
    <font>
      <b/>
      <sz val="12"/>
      <name val="游ゴシック"/>
      <family val="3"/>
      <charset val="128"/>
      <scheme val="minor"/>
    </font>
    <font>
      <u/>
      <sz val="9"/>
      <name val="游ゴシック"/>
      <family val="3"/>
      <charset val="128"/>
      <scheme val="minor"/>
    </font>
    <font>
      <b/>
      <sz val="10"/>
      <name val="游ゴシック"/>
      <family val="3"/>
      <charset val="128"/>
      <scheme val="minor"/>
    </font>
    <font>
      <b/>
      <sz val="11"/>
      <name val="游ゴシック"/>
      <family val="3"/>
      <charset val="128"/>
      <scheme val="minor"/>
    </font>
    <font>
      <b/>
      <sz val="16"/>
      <name val="游ゴシック"/>
      <family val="3"/>
      <charset val="128"/>
      <scheme val="minor"/>
    </font>
    <font>
      <sz val="11"/>
      <name val="游ゴシック"/>
      <family val="3"/>
      <charset val="128"/>
    </font>
    <font>
      <sz val="10"/>
      <color rgb="FFFF0000"/>
      <name val="游ゴシック"/>
      <family val="3"/>
      <charset val="128"/>
      <scheme val="minor"/>
    </font>
    <font>
      <sz val="10"/>
      <color rgb="FF000000"/>
      <name val="游ゴシック"/>
      <family val="3"/>
      <charset val="128"/>
      <scheme val="minor"/>
    </font>
    <font>
      <sz val="10"/>
      <color rgb="FF000000"/>
      <name val="游ゴシック"/>
      <family val="2"/>
      <charset val="128"/>
      <scheme val="minor"/>
    </font>
    <font>
      <sz val="10"/>
      <color theme="1"/>
      <name val="Arial"/>
      <family val="2"/>
    </font>
    <font>
      <sz val="11"/>
      <color rgb="FFFF0000"/>
      <name val="游ゴシック"/>
      <family val="2"/>
      <charset val="128"/>
      <scheme val="minor"/>
    </font>
    <font>
      <sz val="10"/>
      <color theme="1"/>
      <name val="ＭＳ Ｐゴシック"/>
      <family val="2"/>
      <charset val="128"/>
    </font>
    <font>
      <sz val="11"/>
      <color theme="1"/>
      <name val="游ゴシック"/>
      <family val="2"/>
      <charset val="128"/>
      <scheme val="minor"/>
    </font>
    <font>
      <b/>
      <sz val="11"/>
      <color rgb="FFFF0000"/>
      <name val="游ゴシック"/>
      <family val="3"/>
      <charset val="128"/>
      <scheme val="minor"/>
    </font>
    <font>
      <b/>
      <sz val="11"/>
      <color theme="1"/>
      <name val="游ゴシック"/>
      <family val="3"/>
      <charset val="128"/>
      <scheme val="minor"/>
    </font>
    <font>
      <sz val="10"/>
      <color theme="1"/>
      <name val="游ゴシック"/>
      <family val="3"/>
      <charset val="128"/>
      <scheme val="minor"/>
    </font>
    <font>
      <sz val="11"/>
      <color theme="1"/>
      <name val="游ゴシック"/>
      <family val="3"/>
      <charset val="128"/>
      <scheme val="minor"/>
    </font>
    <font>
      <sz val="12"/>
      <name val="游ゴシック"/>
      <family val="3"/>
      <charset val="128"/>
      <scheme val="minor"/>
    </font>
    <font>
      <sz val="12"/>
      <color rgb="FF0070C0"/>
      <name val="游ゴシック"/>
      <family val="3"/>
      <charset val="128"/>
      <scheme val="minor"/>
    </font>
    <font>
      <b/>
      <sz val="12"/>
      <color rgb="FF0070C0"/>
      <name val="游ゴシック"/>
      <family val="3"/>
      <charset val="128"/>
      <scheme val="minor"/>
    </font>
    <font>
      <b/>
      <sz val="12"/>
      <color rgb="FF0070C0"/>
      <name val="ＭＳ Ｐゴシック"/>
      <family val="3"/>
      <charset val="128"/>
    </font>
    <font>
      <sz val="11"/>
      <color rgb="FF444444"/>
      <name val="Meiryo UI"/>
      <family val="3"/>
      <charset val="128"/>
    </font>
    <font>
      <b/>
      <sz val="11"/>
      <color theme="1"/>
      <name val="游ゴシック"/>
      <family val="2"/>
      <charset val="128"/>
      <scheme val="minor"/>
    </font>
    <font>
      <b/>
      <sz val="12"/>
      <color theme="1"/>
      <name val="游ゴシック"/>
      <family val="2"/>
      <charset val="128"/>
      <scheme val="minor"/>
    </font>
    <font>
      <sz val="11"/>
      <color rgb="FF444444"/>
      <name val="Meiryo UI"/>
      <family val="3"/>
    </font>
    <font>
      <b/>
      <sz val="14"/>
      <color rgb="FFFF0000"/>
      <name val="游ゴシック"/>
      <family val="3"/>
      <charset val="128"/>
      <scheme val="minor"/>
    </font>
    <font>
      <sz val="11"/>
      <name val="游ゴシック"/>
      <family val="3"/>
      <charset val="128"/>
      <scheme val="minor"/>
    </font>
    <font>
      <b/>
      <sz val="10"/>
      <color theme="1"/>
      <name val="游ゴシック"/>
      <family val="3"/>
      <charset val="128"/>
      <scheme val="minor"/>
    </font>
    <font>
      <b/>
      <sz val="12"/>
      <color theme="1"/>
      <name val="游ゴシック"/>
      <family val="3"/>
      <charset val="128"/>
      <scheme val="minor"/>
    </font>
    <font>
      <sz val="12"/>
      <name val="ＭＳ Ｐゴシック"/>
      <family val="3"/>
      <charset val="128"/>
    </font>
    <font>
      <b/>
      <sz val="10"/>
      <color theme="1"/>
      <name val="Arial"/>
      <family val="2"/>
    </font>
    <font>
      <b/>
      <sz val="12"/>
      <color theme="1"/>
      <name val="Arial"/>
      <family val="2"/>
    </font>
    <font>
      <sz val="9"/>
      <name val="游ゴシック"/>
      <family val="2"/>
      <charset val="128"/>
      <scheme val="minor"/>
    </font>
    <font>
      <b/>
      <sz val="10"/>
      <name val="游ゴシック"/>
      <family val="2"/>
      <charset val="128"/>
      <scheme val="minor"/>
    </font>
    <font>
      <b/>
      <sz val="10"/>
      <color rgb="FF000000"/>
      <name val="游ゴシック"/>
      <family val="3"/>
      <charset val="128"/>
      <scheme val="minor"/>
    </font>
    <font>
      <sz val="10"/>
      <color rgb="FF000000"/>
      <name val="游ゴシック"/>
      <family val="3"/>
      <charset val="128"/>
    </font>
    <font>
      <sz val="9"/>
      <color rgb="FF000000"/>
      <name val="游ゴシック"/>
      <family val="3"/>
      <charset val="128"/>
    </font>
    <font>
      <sz val="10"/>
      <color rgb="FF444444"/>
      <name val="游ゴシック"/>
      <family val="3"/>
      <charset val="128"/>
      <scheme val="minor"/>
    </font>
    <font>
      <sz val="9"/>
      <color rgb="FF444444"/>
      <name val="游ゴシック"/>
      <family val="3"/>
      <charset val="128"/>
      <scheme val="minor"/>
    </font>
    <font>
      <sz val="11"/>
      <color rgb="FF000000"/>
      <name val="游ゴシック"/>
      <family val="2"/>
      <charset val="2"/>
    </font>
    <font>
      <b/>
      <sz val="10"/>
      <color rgb="FFFF0000"/>
      <name val="游ゴシック"/>
      <family val="3"/>
      <charset val="128"/>
      <scheme val="minor"/>
    </font>
    <font>
      <b/>
      <sz val="11"/>
      <color theme="4"/>
      <name val="游ゴシック"/>
      <family val="3"/>
      <charset val="128"/>
      <scheme val="minor"/>
    </font>
    <font>
      <b/>
      <sz val="11"/>
      <name val="游ゴシック"/>
      <family val="3"/>
      <charset val="128"/>
    </font>
    <font>
      <sz val="11"/>
      <color theme="1"/>
      <name val="ＭＳ 明朝"/>
      <family val="1"/>
      <charset val="128"/>
    </font>
    <font>
      <sz val="16"/>
      <color theme="1"/>
      <name val="Century"/>
      <family val="1"/>
    </font>
    <font>
      <sz val="12"/>
      <color theme="1"/>
      <name val="Century"/>
      <family val="1"/>
      <charset val="128"/>
    </font>
    <font>
      <sz val="12"/>
      <color rgb="FF000000"/>
      <name val="Century"/>
      <family val="1"/>
      <charset val="128"/>
    </font>
    <font>
      <sz val="12"/>
      <color rgb="FF000000"/>
      <name val="Century"/>
      <family val="3"/>
      <charset val="128"/>
    </font>
    <font>
      <sz val="10"/>
      <color rgb="FF444444"/>
      <name val="游ゴシック"/>
      <family val="3"/>
      <charset val="128"/>
    </font>
    <font>
      <b/>
      <sz val="12"/>
      <color theme="1"/>
      <name val="ＭＳ Ｐゴシック"/>
      <family val="3"/>
      <charset val="128"/>
    </font>
    <font>
      <b/>
      <sz val="14"/>
      <color theme="1"/>
      <name val="游ゴシック"/>
      <family val="2"/>
      <charset val="128"/>
      <scheme val="minor"/>
    </font>
    <font>
      <b/>
      <sz val="16"/>
      <color theme="1"/>
      <name val="游ゴシック"/>
      <family val="2"/>
      <charset val="128"/>
      <scheme val="minor"/>
    </font>
    <font>
      <sz val="16"/>
      <color theme="1"/>
      <name val="游ゴシック"/>
      <family val="2"/>
      <charset val="128"/>
      <scheme val="minor"/>
    </font>
    <font>
      <sz val="14"/>
      <color theme="1"/>
      <name val="游ゴシック"/>
      <family val="2"/>
      <charset val="128"/>
      <scheme val="minor"/>
    </font>
    <font>
      <sz val="14"/>
      <color theme="1"/>
      <name val="游ゴシック"/>
      <family val="3"/>
      <charset val="128"/>
      <scheme val="minor"/>
    </font>
    <font>
      <sz val="14"/>
      <color rgb="FF444444"/>
      <name val="Meiryo UI"/>
      <family val="3"/>
      <charset val="128"/>
    </font>
    <font>
      <sz val="16"/>
      <color rgb="FFFF0000"/>
      <name val="游ゴシック"/>
      <family val="3"/>
      <charset val="128"/>
      <scheme val="minor"/>
    </font>
    <font>
      <sz val="16"/>
      <name val="游ゴシック"/>
      <family val="3"/>
      <charset val="128"/>
      <scheme val="minor"/>
    </font>
    <font>
      <sz val="14"/>
      <name val="Meiryo UI"/>
      <family val="3"/>
      <charset val="128"/>
    </font>
    <font>
      <sz val="14"/>
      <name val="游ゴシック"/>
      <family val="2"/>
      <charset val="128"/>
      <scheme val="minor"/>
    </font>
    <font>
      <sz val="16"/>
      <color rgb="FFFF0000"/>
      <name val="游ゴシック"/>
      <family val="2"/>
      <charset val="128"/>
      <scheme val="minor"/>
    </font>
    <font>
      <sz val="16"/>
      <color theme="1"/>
      <name val="游ゴシック"/>
      <family val="3"/>
      <charset val="128"/>
      <scheme val="minor"/>
    </font>
    <font>
      <b/>
      <sz val="14"/>
      <color theme="1"/>
      <name val="游ゴシック"/>
      <family val="3"/>
      <charset val="128"/>
      <scheme val="minor"/>
    </font>
    <font>
      <b/>
      <sz val="16"/>
      <color theme="1"/>
      <name val="游ゴシック"/>
      <family val="3"/>
      <charset val="128"/>
      <scheme val="minor"/>
    </font>
    <font>
      <sz val="16"/>
      <color rgb="FF0070C0"/>
      <name val="游ゴシック"/>
      <family val="3"/>
      <charset val="128"/>
      <scheme val="minor"/>
    </font>
    <font>
      <b/>
      <sz val="16"/>
      <color rgb="FFFF0000"/>
      <name val="游ゴシック"/>
      <family val="3"/>
      <charset val="128"/>
      <scheme val="minor"/>
    </font>
    <font>
      <sz val="16"/>
      <color theme="1"/>
      <name val="Arial"/>
      <family val="2"/>
    </font>
    <font>
      <sz val="14"/>
      <name val="游ゴシック"/>
      <family val="3"/>
      <charset val="128"/>
      <scheme val="minor"/>
    </font>
    <font>
      <sz val="14"/>
      <color rgb="FFFF0000"/>
      <name val="游ゴシック"/>
      <family val="3"/>
      <charset val="128"/>
      <scheme val="minor"/>
    </font>
    <font>
      <sz val="12"/>
      <color rgb="FF000000"/>
      <name val="Yu Gothic"/>
      <family val="3"/>
      <charset val="128"/>
    </font>
    <font>
      <sz val="12"/>
      <color rgb="FF000000"/>
      <name val="Century"/>
      <family val="1"/>
    </font>
    <font>
      <b/>
      <sz val="14"/>
      <name val="游ゴシック"/>
      <family val="3"/>
      <charset val="128"/>
      <scheme val="minor"/>
    </font>
    <font>
      <sz val="12"/>
      <color rgb="FF000000"/>
      <name val="Century"/>
      <family val="3"/>
    </font>
    <font>
      <sz val="10"/>
      <name val="Meiryo UI"/>
      <family val="3"/>
      <charset val="128"/>
    </font>
    <font>
      <sz val="11"/>
      <name val="Meiryo UI"/>
      <family val="3"/>
      <charset val="128"/>
    </font>
    <font>
      <sz val="11"/>
      <color rgb="FF000000"/>
      <name val="Wingdings"/>
      <charset val="2"/>
    </font>
    <font>
      <sz val="11"/>
      <color rgb="FF000000"/>
      <name val="Calibri"/>
      <family val="2"/>
    </font>
    <font>
      <sz val="11"/>
      <color rgb="FF000000"/>
      <name val="游ゴシック"/>
      <family val="3"/>
      <charset val="128"/>
    </font>
    <font>
      <b/>
      <sz val="11"/>
      <color rgb="FF000000"/>
      <name val="游ゴシック"/>
      <family val="3"/>
      <charset val="128"/>
    </font>
    <font>
      <b/>
      <sz val="11"/>
      <color rgb="FF000000"/>
      <name val="Wingdings"/>
      <charset val="2"/>
    </font>
    <font>
      <b/>
      <sz val="11"/>
      <color rgb="FF000000"/>
      <name val="Calibri"/>
      <family val="2"/>
    </font>
    <font>
      <sz val="9"/>
      <color rgb="FFFF0000"/>
      <name val="游ゴシック"/>
      <family val="3"/>
      <charset val="128"/>
      <scheme val="minor"/>
    </font>
    <font>
      <sz val="8"/>
      <color rgb="FFFF0000"/>
      <name val="游ゴシック"/>
      <family val="3"/>
      <charset val="128"/>
      <scheme val="minor"/>
    </font>
    <font>
      <b/>
      <sz val="12"/>
      <name val="Arial"/>
      <family val="2"/>
    </font>
    <font>
      <sz val="10"/>
      <name val="Arial"/>
      <family val="2"/>
    </font>
    <font>
      <b/>
      <sz val="11"/>
      <color rgb="FF000000"/>
      <name val="Calibri"/>
      <family val="3"/>
    </font>
    <font>
      <b/>
      <sz val="11"/>
      <color rgb="FF000000"/>
      <name val="Segoe UI Symbol"/>
      <family val="3"/>
    </font>
  </fonts>
  <fills count="11">
    <fill>
      <patternFill patternType="none"/>
    </fill>
    <fill>
      <patternFill patternType="gray125"/>
    </fill>
    <fill>
      <patternFill patternType="solid">
        <fgColor rgb="FFFFFF99"/>
        <bgColor indexed="64"/>
      </patternFill>
    </fill>
    <fill>
      <patternFill patternType="solid">
        <fgColor theme="0"/>
        <bgColor indexed="64"/>
      </patternFill>
    </fill>
    <fill>
      <patternFill patternType="solid">
        <fgColor rgb="FFFFFFCC"/>
        <bgColor indexed="64"/>
      </patternFill>
    </fill>
    <fill>
      <patternFill patternType="solid">
        <fgColor rgb="FFFFFFFF"/>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5" tint="0.79998168889431442"/>
        <bgColor indexed="64"/>
      </patternFill>
    </fill>
  </fills>
  <borders count="16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auto="1"/>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diagonalUp="1">
      <left style="thin">
        <color rgb="FF000000"/>
      </left>
      <right style="thin">
        <color rgb="FF000000"/>
      </right>
      <top style="thin">
        <color rgb="FF000000"/>
      </top>
      <bottom style="thin">
        <color rgb="FF000000"/>
      </bottom>
      <diagonal style="thin">
        <color rgb="FF000000"/>
      </diagonal>
    </border>
    <border>
      <left style="medium">
        <color rgb="FF000000"/>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thin">
        <color rgb="FF000000"/>
      </left>
      <right style="medium">
        <color rgb="FF000000"/>
      </right>
      <top style="thin">
        <color indexed="64"/>
      </top>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style="medium">
        <color rgb="FF000000"/>
      </top>
      <bottom/>
      <diagonal/>
    </border>
    <border>
      <left style="thin">
        <color rgb="FF000000"/>
      </left>
      <right/>
      <top/>
      <bottom/>
      <diagonal/>
    </border>
    <border>
      <left/>
      <right style="thin">
        <color rgb="FF000000"/>
      </right>
      <top style="medium">
        <color rgb="FF000000"/>
      </top>
      <bottom style="thin">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right/>
      <top/>
      <bottom style="medium">
        <color indexed="64"/>
      </bottom>
      <diagonal/>
    </border>
    <border>
      <left/>
      <right style="thin">
        <color rgb="FF000000"/>
      </right>
      <top/>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rgb="FF000000"/>
      </top>
      <bottom style="medium">
        <color indexed="64"/>
      </bottom>
      <diagonal/>
    </border>
    <border>
      <left style="thin">
        <color indexed="64"/>
      </left>
      <right style="thin">
        <color indexed="64"/>
      </right>
      <top/>
      <bottom style="thin">
        <color indexed="64"/>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medium">
        <color indexed="64"/>
      </left>
      <right/>
      <top style="medium">
        <color indexed="64"/>
      </top>
      <bottom style="thin">
        <color rgb="FF000000"/>
      </bottom>
      <diagonal/>
    </border>
    <border>
      <left style="thin">
        <color indexed="64"/>
      </left>
      <right style="thin">
        <color indexed="64"/>
      </right>
      <top style="thin">
        <color indexed="64"/>
      </top>
      <bottom style="double">
        <color indexed="64"/>
      </bottom>
      <diagonal/>
    </border>
    <border>
      <left style="medium">
        <color indexed="64"/>
      </left>
      <right style="thin">
        <color rgb="FF000000"/>
      </right>
      <top style="thin">
        <color rgb="FF000000"/>
      </top>
      <bottom style="thin">
        <color indexed="64"/>
      </bottom>
      <diagonal/>
    </border>
    <border diagonalUp="1">
      <left style="thin">
        <color rgb="FF000000"/>
      </left>
      <right style="thin">
        <color rgb="FF000000"/>
      </right>
      <top style="medium">
        <color rgb="FF000000"/>
      </top>
      <bottom/>
      <diagonal style="thin">
        <color rgb="FF000000"/>
      </diagonal>
    </border>
    <border diagonalUp="1">
      <left style="thin">
        <color indexed="64"/>
      </left>
      <right style="thin">
        <color indexed="64"/>
      </right>
      <top style="thin">
        <color indexed="64"/>
      </top>
      <bottom style="thin">
        <color indexed="64"/>
      </bottom>
      <diagonal style="thin">
        <color rgb="FF000000"/>
      </diagonal>
    </border>
    <border diagonalUp="1">
      <left style="thin">
        <color rgb="FF000000"/>
      </left>
      <right style="thin">
        <color rgb="FF000000"/>
      </right>
      <top/>
      <bottom style="medium">
        <color rgb="FF000000"/>
      </bottom>
      <diagonal style="thin">
        <color rgb="FF000000"/>
      </diagonal>
    </border>
    <border diagonalUp="1">
      <left style="thin">
        <color rgb="FF000000"/>
      </left>
      <right style="thin">
        <color rgb="FF000000"/>
      </right>
      <top/>
      <bottom/>
      <diagonal style="thin">
        <color rgb="FF000000"/>
      </diagonal>
    </border>
    <border>
      <left style="thin">
        <color indexed="64"/>
      </left>
      <right style="thin">
        <color indexed="64"/>
      </right>
      <top style="thin">
        <color indexed="64"/>
      </top>
      <bottom style="medium">
        <color indexed="64"/>
      </bottom>
      <diagonal/>
    </border>
    <border>
      <left style="thin">
        <color rgb="FF000000"/>
      </left>
      <right style="thin">
        <color rgb="FF000000"/>
      </right>
      <top style="medium">
        <color rgb="FF000000"/>
      </top>
      <bottom style="thin">
        <color indexed="64"/>
      </bottom>
      <diagonal/>
    </border>
    <border diagonalUp="1">
      <left style="thin">
        <color indexed="64"/>
      </left>
      <right style="thin">
        <color indexed="64"/>
      </right>
      <top/>
      <bottom style="thin">
        <color indexed="64"/>
      </bottom>
      <diagonal style="thin">
        <color rgb="FF000000"/>
      </diagonal>
    </border>
    <border>
      <left style="thin">
        <color indexed="64"/>
      </left>
      <right/>
      <top style="medium">
        <color indexed="64"/>
      </top>
      <bottom style="thin">
        <color indexed="64"/>
      </bottom>
      <diagonal/>
    </border>
    <border>
      <left style="thin">
        <color indexed="64"/>
      </left>
      <right/>
      <top/>
      <bottom style="medium">
        <color indexed="64"/>
      </bottom>
      <diagonal/>
    </border>
    <border diagonalUp="1">
      <left style="thin">
        <color rgb="FF000000"/>
      </left>
      <right style="thin">
        <color indexed="64"/>
      </right>
      <top style="thin">
        <color indexed="64"/>
      </top>
      <bottom style="medium">
        <color indexed="64"/>
      </bottom>
      <diagonal style="thin">
        <color rgb="FF000000"/>
      </diagonal>
    </border>
    <border>
      <left/>
      <right/>
      <top style="medium">
        <color indexed="64"/>
      </top>
      <bottom style="medium">
        <color indexed="64"/>
      </bottom>
      <diagonal/>
    </border>
    <border diagonalUp="1">
      <left style="thin">
        <color rgb="FF000000"/>
      </left>
      <right style="thin">
        <color indexed="64"/>
      </right>
      <top style="thin">
        <color indexed="64"/>
      </top>
      <bottom/>
      <diagonal style="thin">
        <color rgb="FF000000"/>
      </diagonal>
    </border>
    <border diagonalUp="1">
      <left style="medium">
        <color indexed="64"/>
      </left>
      <right style="thin">
        <color indexed="64"/>
      </right>
      <top style="thin">
        <color indexed="64"/>
      </top>
      <bottom style="thin">
        <color indexed="64"/>
      </bottom>
      <diagonal style="thin">
        <color rgb="FF000000"/>
      </diagonal>
    </border>
    <border diagonalUp="1">
      <left style="thin">
        <color rgb="FF000000"/>
      </left>
      <right style="thin">
        <color indexed="64"/>
      </right>
      <top/>
      <bottom style="medium">
        <color indexed="64"/>
      </bottom>
      <diagonal style="thin">
        <color rgb="FF000000"/>
      </diagonal>
    </border>
    <border diagonalUp="1">
      <left style="thin">
        <color indexed="64"/>
      </left>
      <right style="thin">
        <color indexed="64"/>
      </right>
      <top style="thin">
        <color indexed="64"/>
      </top>
      <bottom style="double">
        <color indexed="64"/>
      </bottom>
      <diagonal style="thin">
        <color rgb="FF000000"/>
      </diagonal>
    </border>
    <border diagonalUp="1">
      <left style="thin">
        <color indexed="64"/>
      </left>
      <right style="thin">
        <color indexed="64"/>
      </right>
      <top style="thin">
        <color indexed="64"/>
      </top>
      <bottom/>
      <diagonal style="thin">
        <color rgb="FF000000"/>
      </diagonal>
    </border>
    <border diagonalUp="1">
      <left style="thin">
        <color indexed="64"/>
      </left>
      <right style="thin">
        <color indexed="64"/>
      </right>
      <top style="double">
        <color indexed="64"/>
      </top>
      <bottom style="thin">
        <color indexed="64"/>
      </bottom>
      <diagonal style="thin">
        <color rgb="FF000000"/>
      </diagonal>
    </border>
    <border>
      <left style="thin">
        <color indexed="64"/>
      </left>
      <right style="thin">
        <color indexed="64"/>
      </right>
      <top style="double">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rgb="FF000000"/>
      </top>
      <bottom style="thin">
        <color indexed="64"/>
      </bottom>
      <diagonal/>
    </border>
    <border>
      <left style="thin">
        <color indexed="64"/>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style="medium">
        <color rgb="FF000000"/>
      </right>
      <top/>
      <bottom style="thin">
        <color rgb="FF000000"/>
      </bottom>
      <diagonal/>
    </border>
    <border diagonalUp="1">
      <left style="thin">
        <color rgb="FF000000"/>
      </left>
      <right style="thin">
        <color rgb="FF000000"/>
      </right>
      <top style="medium">
        <color indexed="64"/>
      </top>
      <bottom style="medium">
        <color rgb="FF000000"/>
      </bottom>
      <diagonal style="thin">
        <color rgb="FF000000"/>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diagonalUp="1">
      <left/>
      <right style="thin">
        <color indexed="64"/>
      </right>
      <top style="thin">
        <color indexed="64"/>
      </top>
      <bottom style="thin">
        <color indexed="64"/>
      </bottom>
      <diagonal style="thin">
        <color rgb="FF000000"/>
      </diagonal>
    </border>
    <border diagonalUp="1">
      <left style="thin">
        <color rgb="FF000000"/>
      </left>
      <right style="thin">
        <color rgb="FF000000"/>
      </right>
      <top/>
      <bottom style="thin">
        <color indexed="64"/>
      </bottom>
      <diagonal style="thin">
        <color rgb="FF000000"/>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rgb="FF000000"/>
      </left>
      <right style="thin">
        <color rgb="FF000000"/>
      </right>
      <top style="thin">
        <color indexed="64"/>
      </top>
      <bottom style="thin">
        <color indexed="64"/>
      </bottom>
      <diagonal style="thin">
        <color rgb="FF000000"/>
      </diagonal>
    </border>
    <border>
      <left style="medium">
        <color indexed="64"/>
      </left>
      <right/>
      <top/>
      <bottom/>
      <diagonal/>
    </border>
    <border>
      <left/>
      <right style="medium">
        <color indexed="64"/>
      </right>
      <top/>
      <bottom/>
      <diagonal/>
    </border>
    <border diagonalUp="1">
      <left style="thin">
        <color rgb="FF000000"/>
      </left>
      <right style="thin">
        <color rgb="FF000000"/>
      </right>
      <top style="thin">
        <color indexed="64"/>
      </top>
      <bottom style="medium">
        <color rgb="FF000000"/>
      </bottom>
      <diagonal style="thin">
        <color rgb="FF000000"/>
      </diagonal>
    </border>
    <border>
      <left style="medium">
        <color indexed="64"/>
      </left>
      <right/>
      <top/>
      <bottom style="medium">
        <color indexed="64"/>
      </bottom>
      <diagonal/>
    </border>
    <border>
      <left/>
      <right style="medium">
        <color indexed="64"/>
      </right>
      <top/>
      <bottom style="medium">
        <color indexed="64"/>
      </bottom>
      <diagonal/>
    </border>
    <border diagonalUp="1">
      <left/>
      <right style="thin">
        <color indexed="64"/>
      </right>
      <top style="thin">
        <color indexed="64"/>
      </top>
      <bottom/>
      <diagonal style="thin">
        <color rgb="FF000000"/>
      </diagonal>
    </border>
    <border diagonalUp="1">
      <left style="thin">
        <color rgb="FF000000"/>
      </left>
      <right style="thin">
        <color rgb="FF000000"/>
      </right>
      <top/>
      <bottom style="thin">
        <color rgb="FF000000"/>
      </bottom>
      <diagonal style="thin">
        <color rgb="FF000000"/>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diagonalUp="1">
      <left style="thin">
        <color rgb="FF000000"/>
      </left>
      <right style="thin">
        <color rgb="FF000000"/>
      </right>
      <top style="thin">
        <color rgb="FF000000"/>
      </top>
      <bottom style="medium">
        <color rgb="FF000000"/>
      </bottom>
      <diagonal style="thin">
        <color rgb="FF000000"/>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rgb="FF000000"/>
      </left>
      <right style="thin">
        <color rgb="FF000000"/>
      </right>
      <top style="medium">
        <color rgb="FF000000"/>
      </top>
      <bottom style="thin">
        <color indexed="64"/>
      </bottom>
      <diagonal/>
    </border>
    <border>
      <left style="thin">
        <color rgb="FF000000"/>
      </left>
      <right/>
      <top style="medium">
        <color rgb="FF000000"/>
      </top>
      <bottom style="thin">
        <color indexed="64"/>
      </bottom>
      <diagonal/>
    </border>
    <border>
      <left style="thin">
        <color rgb="FF000000"/>
      </left>
      <right style="thin">
        <color rgb="FF000000"/>
      </right>
      <top/>
      <bottom style="thin">
        <color indexed="64"/>
      </bottom>
      <diagonal/>
    </border>
    <border>
      <left style="thin">
        <color rgb="FF000000"/>
      </left>
      <right style="medium">
        <color rgb="FF000000"/>
      </right>
      <top style="medium">
        <color rgb="FF000000"/>
      </top>
      <bottom style="thin">
        <color indexed="64"/>
      </bottom>
      <diagonal/>
    </border>
    <border>
      <left style="medium">
        <color rgb="FF000000"/>
      </left>
      <right style="thin">
        <color rgb="FF000000"/>
      </right>
      <top/>
      <bottom style="thin">
        <color indexed="64"/>
      </bottom>
      <diagonal/>
    </border>
    <border>
      <left style="thin">
        <color rgb="FF000000"/>
      </left>
      <right/>
      <top/>
      <bottom style="thin">
        <color indexed="64"/>
      </bottom>
      <diagonal/>
    </border>
    <border>
      <left style="thin">
        <color rgb="FF000000"/>
      </left>
      <right style="medium">
        <color rgb="FF000000"/>
      </right>
      <top/>
      <bottom style="thin">
        <color indexed="64"/>
      </bottom>
      <diagonal/>
    </border>
    <border>
      <left style="medium">
        <color rgb="FF000000"/>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style="thin">
        <color rgb="FF000000"/>
      </left>
      <right style="medium">
        <color rgb="FF000000"/>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rgb="FF000000"/>
      </right>
      <top style="thin">
        <color indexed="64"/>
      </top>
      <bottom style="medium">
        <color rgb="FF000000"/>
      </bottom>
      <diagonal/>
    </border>
    <border>
      <left style="medium">
        <color rgb="FF000000"/>
      </left>
      <right style="thin">
        <color rgb="FF000000"/>
      </right>
      <top style="thin">
        <color indexed="64"/>
      </top>
      <bottom/>
      <diagonal/>
    </border>
    <border>
      <left style="thin">
        <color indexed="64"/>
      </left>
      <right style="medium">
        <color rgb="FF000000"/>
      </right>
      <top/>
      <bottom style="thin">
        <color indexed="64"/>
      </bottom>
      <diagonal/>
    </border>
    <border>
      <left style="medium">
        <color rgb="FF000000"/>
      </left>
      <right style="thin">
        <color indexed="64"/>
      </right>
      <top style="thin">
        <color indexed="64"/>
      </top>
      <bottom style="medium">
        <color rgb="FF000000"/>
      </bottom>
      <diagonal/>
    </border>
    <border>
      <left style="medium">
        <color rgb="FF000000"/>
      </left>
      <right style="thin">
        <color indexed="64"/>
      </right>
      <top style="thin">
        <color indexed="64"/>
      </top>
      <bottom/>
      <diagonal/>
    </border>
    <border>
      <left style="thin">
        <color indexed="64"/>
      </left>
      <right style="medium">
        <color rgb="FF000000"/>
      </right>
      <top style="thin">
        <color indexed="64"/>
      </top>
      <bottom/>
      <diagonal/>
    </border>
    <border>
      <left style="medium">
        <color rgb="FF000000"/>
      </left>
      <right style="thin">
        <color indexed="64"/>
      </right>
      <top/>
      <bottom style="thin">
        <color indexed="64"/>
      </bottom>
      <diagonal/>
    </border>
    <border>
      <left style="thin">
        <color rgb="FF000000"/>
      </left>
      <right style="thin">
        <color rgb="FF000000"/>
      </right>
      <top style="thin">
        <color indexed="64"/>
      </top>
      <bottom style="medium">
        <color indexed="64"/>
      </bottom>
      <diagonal/>
    </border>
    <border>
      <left style="thin">
        <color indexed="64"/>
      </left>
      <right style="thin">
        <color indexed="64"/>
      </right>
      <top style="thin">
        <color rgb="FF000000"/>
      </top>
      <bottom/>
      <diagonal/>
    </border>
    <border>
      <left style="thin">
        <color indexed="64"/>
      </left>
      <right style="thin">
        <color indexed="64"/>
      </right>
      <top/>
      <bottom style="thin">
        <color rgb="FF000000"/>
      </bottom>
      <diagonal/>
    </border>
    <border>
      <left/>
      <right style="thin">
        <color rgb="FF000000"/>
      </right>
      <top style="thin">
        <color indexed="64"/>
      </top>
      <bottom style="thin">
        <color indexed="64"/>
      </bottom>
      <diagonal/>
    </border>
    <border>
      <left style="thin">
        <color indexed="64"/>
      </left>
      <right/>
      <top/>
      <bottom style="thin">
        <color indexed="64"/>
      </bottom>
      <diagonal/>
    </border>
    <border>
      <left/>
      <right style="medium">
        <color indexed="64"/>
      </right>
      <top/>
      <bottom style="thin">
        <color rgb="FF000000"/>
      </bottom>
      <diagonal/>
    </border>
    <border>
      <left style="thin">
        <color indexed="64"/>
      </left>
      <right/>
      <top style="thin">
        <color rgb="FF000000"/>
      </top>
      <bottom style="thin">
        <color indexed="64"/>
      </bottom>
      <diagonal/>
    </border>
  </borders>
  <cellStyleXfs count="6">
    <xf numFmtId="0" fontId="0" fillId="0" borderId="0">
      <alignment vertical="center"/>
    </xf>
    <xf numFmtId="0" fontId="2" fillId="0" borderId="0"/>
    <xf numFmtId="0" fontId="3" fillId="0" borderId="0">
      <alignment vertical="center"/>
    </xf>
    <xf numFmtId="0" fontId="3" fillId="0" borderId="0">
      <alignment vertical="center"/>
    </xf>
    <xf numFmtId="38" fontId="21" fillId="0" borderId="0" applyFont="0" applyFill="0" applyBorder="0" applyAlignment="0" applyProtection="0">
      <alignment vertical="center"/>
    </xf>
    <xf numFmtId="9" fontId="21" fillId="0" borderId="0" applyFont="0" applyFill="0" applyBorder="0" applyAlignment="0" applyProtection="0">
      <alignment vertical="center"/>
    </xf>
  </cellStyleXfs>
  <cellXfs count="689">
    <xf numFmtId="0" fontId="0" fillId="0" borderId="0" xfId="0">
      <alignment vertical="center"/>
    </xf>
    <xf numFmtId="0" fontId="4" fillId="0" borderId="0" xfId="0" applyFont="1">
      <alignment vertical="center"/>
    </xf>
    <xf numFmtId="0" fontId="5" fillId="0" borderId="0" xfId="0" applyFont="1">
      <alignment vertical="center"/>
    </xf>
    <xf numFmtId="0" fontId="6" fillId="0" borderId="0" xfId="0" applyFont="1">
      <alignment vertical="center"/>
    </xf>
    <xf numFmtId="0" fontId="4" fillId="0" borderId="0" xfId="0" applyFont="1" applyAlignment="1">
      <alignment vertical="top"/>
    </xf>
    <xf numFmtId="0" fontId="6" fillId="0" borderId="0" xfId="0" applyFont="1" applyAlignment="1">
      <alignment vertical="center" wrapText="1"/>
    </xf>
    <xf numFmtId="0" fontId="5" fillId="0" borderId="0" xfId="0" applyFont="1" applyAlignment="1">
      <alignment vertical="top" wrapText="1"/>
    </xf>
    <xf numFmtId="0" fontId="6" fillId="0" borderId="0" xfId="0" applyFont="1" applyAlignment="1">
      <alignment vertical="top" wrapText="1"/>
    </xf>
    <xf numFmtId="0" fontId="6" fillId="0" borderId="0" xfId="0" applyFont="1" applyAlignment="1">
      <alignment vertical="top"/>
    </xf>
    <xf numFmtId="0" fontId="9" fillId="0" borderId="0" xfId="0" applyFont="1" applyAlignment="1">
      <alignment vertical="top"/>
    </xf>
    <xf numFmtId="0" fontId="10" fillId="0" borderId="0" xfId="0" applyFont="1" applyAlignment="1">
      <alignment horizontal="left" vertical="top"/>
    </xf>
    <xf numFmtId="0" fontId="6" fillId="0" borderId="0" xfId="0" applyFont="1" applyAlignment="1">
      <alignment horizontal="left" vertical="top"/>
    </xf>
    <xf numFmtId="0" fontId="11" fillId="0" borderId="0" xfId="0" applyFont="1" applyAlignment="1">
      <alignment horizontal="left" vertical="center"/>
    </xf>
    <xf numFmtId="0" fontId="13" fillId="0" borderId="0" xfId="0" applyFont="1">
      <alignment vertical="center"/>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3" xfId="0" applyFont="1" applyBorder="1">
      <alignment vertical="center"/>
    </xf>
    <xf numFmtId="0" fontId="5" fillId="0" borderId="6" xfId="0" applyFont="1" applyBorder="1">
      <alignment vertical="center"/>
    </xf>
    <xf numFmtId="0" fontId="5" fillId="0" borderId="3" xfId="0" applyFont="1" applyBorder="1" applyAlignment="1">
      <alignment vertical="top" wrapText="1"/>
    </xf>
    <xf numFmtId="0" fontId="5" fillId="0" borderId="2" xfId="0" applyFont="1" applyBorder="1" applyAlignment="1">
      <alignment vertical="top" wrapText="1"/>
    </xf>
    <xf numFmtId="0" fontId="14" fillId="0" borderId="0" xfId="0" applyFont="1" applyAlignment="1">
      <alignment horizontal="left" vertical="top" wrapText="1"/>
    </xf>
    <xf numFmtId="0" fontId="5" fillId="0" borderId="0" xfId="0" applyFont="1" applyAlignment="1">
      <alignment horizontal="left" vertical="center"/>
    </xf>
    <xf numFmtId="0" fontId="7" fillId="0" borderId="0" xfId="0" applyFont="1" applyAlignment="1">
      <alignment horizontal="left" vertical="top" wrapText="1"/>
    </xf>
    <xf numFmtId="0" fontId="16" fillId="0" borderId="0" xfId="0" applyFont="1" applyAlignment="1">
      <alignment vertical="top"/>
    </xf>
    <xf numFmtId="0" fontId="15" fillId="0" borderId="0" xfId="0" applyFont="1" applyAlignment="1">
      <alignment vertical="top"/>
    </xf>
    <xf numFmtId="0" fontId="18" fillId="0" borderId="0" xfId="0" applyFont="1">
      <alignment vertical="center"/>
    </xf>
    <xf numFmtId="0" fontId="18" fillId="0" borderId="0" xfId="0" applyFont="1" applyAlignment="1">
      <alignment wrapText="1"/>
    </xf>
    <xf numFmtId="0" fontId="18" fillId="0" borderId="0" xfId="0" applyFont="1" applyAlignment="1">
      <alignment horizontal="right" wrapText="1"/>
    </xf>
    <xf numFmtId="0" fontId="19" fillId="0" borderId="0" xfId="0" applyFont="1">
      <alignment vertical="center"/>
    </xf>
    <xf numFmtId="0" fontId="18" fillId="0" borderId="0" xfId="0" applyFont="1" applyAlignment="1"/>
    <xf numFmtId="0" fontId="5" fillId="2" borderId="5" xfId="0" applyFont="1" applyFill="1" applyBorder="1" applyProtection="1">
      <alignment vertical="center"/>
      <protection locked="0"/>
    </xf>
    <xf numFmtId="0" fontId="5" fillId="2" borderId="4" xfId="0" applyFont="1" applyFill="1" applyBorder="1" applyProtection="1">
      <alignment vertical="center"/>
      <protection locked="0"/>
    </xf>
    <xf numFmtId="0" fontId="5" fillId="2" borderId="8" xfId="0" applyFont="1" applyFill="1" applyBorder="1" applyProtection="1">
      <alignment vertical="center"/>
      <protection locked="0"/>
    </xf>
    <xf numFmtId="0" fontId="5" fillId="2" borderId="5" xfId="0" applyFont="1" applyFill="1" applyBorder="1" applyAlignment="1" applyProtection="1">
      <alignment vertical="top" wrapText="1"/>
      <protection locked="0"/>
    </xf>
    <xf numFmtId="0" fontId="5" fillId="2" borderId="4" xfId="0" applyFont="1" applyFill="1" applyBorder="1" applyAlignment="1" applyProtection="1">
      <alignment vertical="top" wrapText="1"/>
      <protection locked="0"/>
    </xf>
    <xf numFmtId="0" fontId="20" fillId="0" borderId="0" xfId="0" applyFont="1" applyAlignment="1">
      <alignment wrapText="1"/>
    </xf>
    <xf numFmtId="0" fontId="12" fillId="0" borderId="0" xfId="0" applyFont="1" applyAlignment="1">
      <alignment vertical="top" wrapText="1"/>
    </xf>
    <xf numFmtId="0" fontId="4" fillId="0" borderId="11" xfId="0" applyFont="1" applyBorder="1" applyAlignment="1">
      <alignment horizontal="center" vertical="center"/>
    </xf>
    <xf numFmtId="0" fontId="22" fillId="0" borderId="0" xfId="0" applyFont="1">
      <alignment vertical="center"/>
    </xf>
    <xf numFmtId="0" fontId="4" fillId="0" borderId="13" xfId="0" applyFont="1" applyBorder="1">
      <alignment vertical="center"/>
    </xf>
    <xf numFmtId="0" fontId="25" fillId="0" borderId="0" xfId="0" applyFont="1">
      <alignment vertical="center"/>
    </xf>
    <xf numFmtId="0" fontId="26" fillId="0" borderId="0" xfId="3" applyFont="1" applyAlignment="1">
      <alignment horizontal="right" vertical="center"/>
    </xf>
    <xf numFmtId="0" fontId="28" fillId="0" borderId="0" xfId="3" applyFont="1">
      <alignment vertical="center"/>
    </xf>
    <xf numFmtId="0" fontId="29" fillId="0" borderId="0" xfId="3" applyFont="1">
      <alignment vertical="center"/>
    </xf>
    <xf numFmtId="0" fontId="23" fillId="4" borderId="0" xfId="0" applyFont="1" applyFill="1">
      <alignment vertical="center"/>
    </xf>
    <xf numFmtId="0" fontId="24" fillId="0" borderId="14" xfId="0" applyFont="1" applyBorder="1" applyAlignment="1">
      <alignment wrapText="1"/>
    </xf>
    <xf numFmtId="0" fontId="25" fillId="0" borderId="14" xfId="0" applyFont="1" applyBorder="1">
      <alignment vertical="center"/>
    </xf>
    <xf numFmtId="0" fontId="15" fillId="0" borderId="14" xfId="0" applyFont="1" applyBorder="1">
      <alignment vertical="center"/>
    </xf>
    <xf numFmtId="0" fontId="24" fillId="0" borderId="14" xfId="0" applyFont="1" applyBorder="1" applyAlignment="1"/>
    <xf numFmtId="0" fontId="22" fillId="0" borderId="14" xfId="0" applyFont="1" applyBorder="1">
      <alignment vertical="center"/>
    </xf>
    <xf numFmtId="0" fontId="0" fillId="0" borderId="14" xfId="0" applyBorder="1">
      <alignment vertical="center"/>
    </xf>
    <xf numFmtId="0" fontId="30" fillId="0" borderId="14" xfId="0" applyFont="1" applyBorder="1">
      <alignment vertical="center"/>
    </xf>
    <xf numFmtId="0" fontId="0" fillId="0" borderId="16" xfId="0" applyBorder="1">
      <alignment vertical="center"/>
    </xf>
    <xf numFmtId="0" fontId="31" fillId="0" borderId="0" xfId="0" applyFont="1">
      <alignment vertical="center"/>
    </xf>
    <xf numFmtId="0" fontId="23" fillId="0" borderId="14" xfId="0" applyFont="1" applyBorder="1">
      <alignment vertical="center"/>
    </xf>
    <xf numFmtId="0" fontId="24" fillId="0" borderId="16" xfId="0" applyFont="1" applyBorder="1" applyAlignment="1">
      <alignment wrapText="1"/>
    </xf>
    <xf numFmtId="0" fontId="25" fillId="0" borderId="16" xfId="0" applyFont="1" applyBorder="1">
      <alignment vertical="center"/>
    </xf>
    <xf numFmtId="0" fontId="24" fillId="0" borderId="17" xfId="0" applyFont="1" applyBorder="1" applyAlignment="1">
      <alignment wrapText="1"/>
    </xf>
    <xf numFmtId="38" fontId="25" fillId="0" borderId="17" xfId="4" applyFont="1" applyBorder="1">
      <alignment vertical="center"/>
    </xf>
    <xf numFmtId="0" fontId="24" fillId="0" borderId="19" xfId="0" applyFont="1" applyBorder="1" applyAlignment="1">
      <alignment wrapText="1"/>
    </xf>
    <xf numFmtId="0" fontId="25" fillId="0" borderId="19" xfId="0" applyFont="1" applyBorder="1">
      <alignment vertical="center"/>
    </xf>
    <xf numFmtId="38" fontId="24" fillId="5" borderId="19" xfId="4" applyFont="1" applyFill="1" applyBorder="1" applyAlignment="1">
      <alignment horizontal="right" wrapText="1"/>
    </xf>
    <xf numFmtId="0" fontId="32" fillId="0" borderId="0" xfId="0" applyFont="1">
      <alignment vertical="center"/>
    </xf>
    <xf numFmtId="0" fontId="33" fillId="0" borderId="14" xfId="0" applyFont="1" applyBorder="1">
      <alignment vertical="center"/>
    </xf>
    <xf numFmtId="0" fontId="30" fillId="0" borderId="0" xfId="0" applyFont="1">
      <alignment vertical="center"/>
    </xf>
    <xf numFmtId="0" fontId="34" fillId="0" borderId="0" xfId="0" applyFont="1">
      <alignment vertical="center"/>
    </xf>
    <xf numFmtId="0" fontId="30" fillId="0" borderId="0" xfId="0" quotePrefix="1" applyFont="1">
      <alignment vertical="center"/>
    </xf>
    <xf numFmtId="0" fontId="5" fillId="0" borderId="21" xfId="0" applyFont="1" applyBorder="1" applyAlignment="1">
      <alignment vertical="center" wrapText="1"/>
    </xf>
    <xf numFmtId="0" fontId="5" fillId="2" borderId="22" xfId="0" applyFont="1" applyFill="1" applyBorder="1" applyAlignment="1" applyProtection="1">
      <alignment vertical="center" wrapText="1"/>
      <protection locked="0"/>
    </xf>
    <xf numFmtId="0" fontId="5" fillId="0" borderId="23" xfId="0" applyFont="1" applyBorder="1" applyAlignment="1">
      <alignment vertical="center" wrapText="1"/>
    </xf>
    <xf numFmtId="0" fontId="5" fillId="2" borderId="24" xfId="0" applyFont="1" applyFill="1" applyBorder="1" applyAlignment="1" applyProtection="1">
      <alignment vertical="center" wrapText="1"/>
      <protection locked="0"/>
    </xf>
    <xf numFmtId="0" fontId="17" fillId="0" borderId="23" xfId="0" applyFont="1" applyBorder="1" applyAlignment="1">
      <alignment vertical="center" wrapText="1"/>
    </xf>
    <xf numFmtId="0" fontId="6" fillId="2" borderId="24" xfId="0" applyFont="1" applyFill="1" applyBorder="1" applyAlignment="1" applyProtection="1">
      <alignment vertical="center" wrapText="1"/>
      <protection locked="0"/>
    </xf>
    <xf numFmtId="0" fontId="5" fillId="2" borderId="25" xfId="0" applyFont="1" applyFill="1" applyBorder="1" applyAlignment="1" applyProtection="1">
      <alignment vertical="center" wrapText="1"/>
      <protection locked="0"/>
    </xf>
    <xf numFmtId="0" fontId="5" fillId="0" borderId="26" xfId="0" applyFont="1" applyBorder="1" applyAlignment="1">
      <alignment vertical="center" wrapText="1"/>
    </xf>
    <xf numFmtId="0" fontId="24" fillId="3" borderId="32" xfId="0" applyFont="1" applyFill="1" applyBorder="1" applyAlignment="1">
      <alignment wrapText="1"/>
    </xf>
    <xf numFmtId="0" fontId="24" fillId="3" borderId="33" xfId="0" applyFont="1" applyFill="1" applyBorder="1" applyAlignment="1">
      <alignment wrapText="1"/>
    </xf>
    <xf numFmtId="0" fontId="24" fillId="3" borderId="0" xfId="0" applyFont="1" applyFill="1" applyAlignment="1">
      <alignment wrapText="1"/>
    </xf>
    <xf numFmtId="0" fontId="25" fillId="0" borderId="1" xfId="0" applyFont="1" applyBorder="1">
      <alignment vertical="center"/>
    </xf>
    <xf numFmtId="0" fontId="12" fillId="0" borderId="0" xfId="0" applyFont="1">
      <alignment vertical="center"/>
    </xf>
    <xf numFmtId="38" fontId="31" fillId="0" borderId="0" xfId="4" applyFont="1">
      <alignment vertical="center"/>
    </xf>
    <xf numFmtId="0" fontId="35" fillId="0" borderId="0" xfId="0" applyFont="1">
      <alignment vertical="center"/>
    </xf>
    <xf numFmtId="38" fontId="0" fillId="0" borderId="0" xfId="4" applyFont="1">
      <alignment vertical="center"/>
    </xf>
    <xf numFmtId="38" fontId="25" fillId="0" borderId="15" xfId="4" applyFont="1" applyBorder="1">
      <alignment vertical="center"/>
    </xf>
    <xf numFmtId="38" fontId="25" fillId="0" borderId="14" xfId="4" applyFont="1" applyBorder="1">
      <alignment vertical="center"/>
    </xf>
    <xf numFmtId="0" fontId="9" fillId="0" borderId="0" xfId="3" applyFont="1">
      <alignment vertical="center"/>
    </xf>
    <xf numFmtId="38" fontId="23" fillId="0" borderId="14" xfId="4" applyFont="1" applyBorder="1">
      <alignment vertical="center"/>
    </xf>
    <xf numFmtId="38" fontId="27" fillId="0" borderId="0" xfId="4" applyFont="1">
      <alignment vertical="center"/>
    </xf>
    <xf numFmtId="0" fontId="23" fillId="0" borderId="0" xfId="0" applyFont="1">
      <alignment vertical="center"/>
    </xf>
    <xf numFmtId="0" fontId="24" fillId="0" borderId="16" xfId="0" applyFont="1" applyBorder="1" applyAlignment="1">
      <alignment vertical="center" wrapText="1"/>
    </xf>
    <xf numFmtId="0" fontId="24" fillId="0" borderId="35" xfId="0" applyFont="1" applyBorder="1" applyAlignment="1">
      <alignment vertical="center" wrapText="1"/>
    </xf>
    <xf numFmtId="0" fontId="25" fillId="0" borderId="16" xfId="0" applyFont="1" applyBorder="1" applyAlignment="1">
      <alignment vertical="center" wrapText="1"/>
    </xf>
    <xf numFmtId="0" fontId="36" fillId="0" borderId="16" xfId="0" applyFont="1" applyBorder="1" applyAlignment="1">
      <alignment vertical="center" wrapText="1"/>
    </xf>
    <xf numFmtId="0" fontId="24" fillId="0" borderId="37" xfId="0" applyFont="1" applyBorder="1" applyAlignment="1">
      <alignment vertical="center" wrapText="1"/>
    </xf>
    <xf numFmtId="0" fontId="25" fillId="0" borderId="0" xfId="0" applyFont="1" applyAlignment="1">
      <alignment vertical="center" wrapText="1"/>
    </xf>
    <xf numFmtId="0" fontId="35" fillId="0" borderId="0" xfId="0" applyFont="1" applyAlignment="1">
      <alignment horizontal="right" vertical="center" wrapText="1"/>
    </xf>
    <xf numFmtId="0" fontId="24" fillId="0" borderId="0" xfId="0" applyFont="1" applyAlignment="1">
      <alignment wrapText="1"/>
    </xf>
    <xf numFmtId="0" fontId="24" fillId="0" borderId="41" xfId="0" applyFont="1" applyBorder="1" applyAlignment="1">
      <alignment vertical="center" wrapText="1"/>
    </xf>
    <xf numFmtId="0" fontId="25" fillId="0" borderId="42" xfId="0" applyFont="1" applyBorder="1">
      <alignment vertical="center"/>
    </xf>
    <xf numFmtId="0" fontId="24" fillId="0" borderId="38" xfId="0" applyFont="1" applyBorder="1" applyAlignment="1">
      <alignment vertical="center" wrapText="1"/>
    </xf>
    <xf numFmtId="0" fontId="24" fillId="0" borderId="43" xfId="0" applyFont="1" applyBorder="1" applyAlignment="1">
      <alignment horizontal="right" vertical="center" wrapText="1"/>
    </xf>
    <xf numFmtId="0" fontId="35" fillId="0" borderId="0" xfId="0" applyFont="1" applyAlignment="1">
      <alignment horizontal="right" vertical="center"/>
    </xf>
    <xf numFmtId="0" fontId="24" fillId="0" borderId="52" xfId="0" applyFont="1" applyBorder="1" applyAlignment="1">
      <alignment vertical="center" wrapText="1"/>
    </xf>
    <xf numFmtId="176" fontId="25" fillId="0" borderId="0" xfId="0" applyNumberFormat="1" applyFont="1" applyAlignment="1">
      <alignment horizontal="right" vertical="center"/>
    </xf>
    <xf numFmtId="0" fontId="24" fillId="0" borderId="56" xfId="0" applyFont="1" applyBorder="1" applyAlignment="1">
      <alignment horizontal="right" vertical="center" wrapText="1"/>
    </xf>
    <xf numFmtId="0" fontId="15" fillId="0" borderId="40" xfId="0" applyFont="1" applyBorder="1" applyAlignment="1">
      <alignment horizontal="center" vertical="center" wrapText="1"/>
    </xf>
    <xf numFmtId="176" fontId="25" fillId="0" borderId="50" xfId="0" applyNumberFormat="1" applyFont="1" applyBorder="1" applyAlignment="1">
      <alignment horizontal="right" vertical="center"/>
    </xf>
    <xf numFmtId="0" fontId="36" fillId="0" borderId="57" xfId="0" applyFont="1" applyBorder="1" applyAlignment="1">
      <alignment vertical="center" wrapText="1"/>
    </xf>
    <xf numFmtId="0" fontId="24" fillId="0" borderId="0" xfId="0" applyFont="1" applyAlignment="1">
      <alignment vertical="center" wrapText="1"/>
    </xf>
    <xf numFmtId="0" fontId="25" fillId="0" borderId="47" xfId="0" applyFont="1" applyBorder="1">
      <alignment vertical="center"/>
    </xf>
    <xf numFmtId="38" fontId="24" fillId="5" borderId="47" xfId="4" applyFont="1" applyFill="1" applyBorder="1" applyAlignment="1">
      <alignment horizontal="right" vertical="center" wrapText="1"/>
    </xf>
    <xf numFmtId="0" fontId="24" fillId="0" borderId="26" xfId="0" applyFont="1" applyBorder="1" applyAlignment="1">
      <alignment vertical="center" wrapText="1"/>
    </xf>
    <xf numFmtId="0" fontId="24" fillId="0" borderId="33" xfId="0" applyFont="1" applyBorder="1" applyAlignment="1">
      <alignment horizontal="right" vertical="center" wrapText="1"/>
    </xf>
    <xf numFmtId="0" fontId="24" fillId="0" borderId="27" xfId="0" applyFont="1" applyBorder="1" applyAlignment="1">
      <alignment vertical="center" wrapText="1"/>
    </xf>
    <xf numFmtId="0" fontId="24" fillId="0" borderId="59" xfId="0" applyFont="1" applyBorder="1" applyAlignment="1">
      <alignment horizontal="right" vertical="center" wrapText="1"/>
    </xf>
    <xf numFmtId="38" fontId="0" fillId="0" borderId="15" xfId="4" applyFont="1" applyBorder="1">
      <alignment vertical="center"/>
    </xf>
    <xf numFmtId="38" fontId="0" fillId="0" borderId="14" xfId="4" applyFont="1" applyBorder="1">
      <alignment vertical="center"/>
    </xf>
    <xf numFmtId="0" fontId="37" fillId="0" borderId="0" xfId="0" applyFont="1">
      <alignment vertical="center"/>
    </xf>
    <xf numFmtId="0" fontId="24" fillId="0" borderId="1" xfId="0" applyFont="1" applyBorder="1" applyAlignment="1">
      <alignment vertical="center" wrapText="1"/>
    </xf>
    <xf numFmtId="178" fontId="24" fillId="0" borderId="1" xfId="0" applyNumberFormat="1" applyFont="1" applyBorder="1" applyAlignment="1">
      <alignment vertical="center" wrapText="1"/>
    </xf>
    <xf numFmtId="0" fontId="15" fillId="0" borderId="1" xfId="0" applyFont="1" applyBorder="1" applyAlignment="1">
      <alignment vertical="center" wrapText="1"/>
    </xf>
    <xf numFmtId="0" fontId="38" fillId="0" borderId="0" xfId="3" applyFont="1">
      <alignment vertical="center"/>
    </xf>
    <xf numFmtId="0" fontId="24" fillId="6" borderId="65" xfId="0" applyFont="1" applyFill="1" applyBorder="1" applyAlignment="1">
      <alignment horizontal="center" wrapText="1"/>
    </xf>
    <xf numFmtId="0" fontId="24" fillId="6" borderId="5" xfId="0" applyFont="1" applyFill="1" applyBorder="1" applyAlignment="1">
      <alignment horizontal="center" wrapText="1"/>
    </xf>
    <xf numFmtId="0" fontId="36" fillId="0" borderId="1" xfId="0" applyFont="1" applyBorder="1" applyAlignment="1">
      <alignment horizontal="center" wrapText="1"/>
    </xf>
    <xf numFmtId="0" fontId="23" fillId="0" borderId="30" xfId="0" applyFont="1" applyBorder="1" applyAlignment="1">
      <alignment horizontal="center" vertical="center"/>
    </xf>
    <xf numFmtId="0" fontId="23" fillId="0" borderId="1" xfId="0" applyFont="1" applyBorder="1" applyAlignment="1">
      <alignment horizontal="center" vertical="center"/>
    </xf>
    <xf numFmtId="0" fontId="23" fillId="0" borderId="31" xfId="0" applyFont="1" applyBorder="1" applyAlignment="1">
      <alignment horizontal="center" vertical="center"/>
    </xf>
    <xf numFmtId="0" fontId="24" fillId="0" borderId="66" xfId="0" applyFont="1" applyBorder="1" applyAlignment="1">
      <alignment wrapText="1"/>
    </xf>
    <xf numFmtId="38" fontId="25" fillId="0" borderId="17" xfId="4" applyFont="1" applyFill="1" applyBorder="1">
      <alignment vertical="center"/>
    </xf>
    <xf numFmtId="38" fontId="25" fillId="0" borderId="35" xfId="4" applyFont="1" applyBorder="1">
      <alignment vertical="center"/>
    </xf>
    <xf numFmtId="0" fontId="15" fillId="0" borderId="67" xfId="0" applyFont="1" applyBorder="1">
      <alignment vertical="center"/>
    </xf>
    <xf numFmtId="0" fontId="0" fillId="0" borderId="30" xfId="0" applyBorder="1">
      <alignment vertical="center"/>
    </xf>
    <xf numFmtId="0" fontId="0" fillId="0" borderId="1" xfId="0" applyBorder="1">
      <alignment vertical="center"/>
    </xf>
    <xf numFmtId="0" fontId="38" fillId="0" borderId="0" xfId="3" applyFont="1" applyAlignment="1">
      <alignment horizontal="center" vertical="center" wrapText="1"/>
    </xf>
    <xf numFmtId="0" fontId="38" fillId="0" borderId="0" xfId="3" applyFont="1" applyAlignment="1">
      <alignment horizontal="center" vertical="center"/>
    </xf>
    <xf numFmtId="0" fontId="24" fillId="0" borderId="68" xfId="0" applyFont="1" applyBorder="1" applyAlignment="1">
      <alignment wrapText="1"/>
    </xf>
    <xf numFmtId="38" fontId="25" fillId="0" borderId="14" xfId="4" applyFont="1" applyFill="1" applyBorder="1">
      <alignment vertical="center"/>
    </xf>
    <xf numFmtId="38" fontId="38" fillId="0" borderId="0" xfId="4" applyFont="1" applyBorder="1">
      <alignment vertical="center"/>
    </xf>
    <xf numFmtId="38" fontId="25" fillId="0" borderId="72" xfId="4" applyFont="1" applyBorder="1">
      <alignment vertical="center"/>
    </xf>
    <xf numFmtId="0" fontId="24" fillId="0" borderId="73" xfId="0" applyFont="1" applyBorder="1" applyAlignment="1">
      <alignment wrapText="1"/>
    </xf>
    <xf numFmtId="38" fontId="35" fillId="0" borderId="75" xfId="4" applyFont="1" applyFill="1" applyBorder="1">
      <alignment vertical="center"/>
    </xf>
    <xf numFmtId="38" fontId="0" fillId="0" borderId="77" xfId="4" applyFont="1" applyBorder="1">
      <alignment vertical="center"/>
    </xf>
    <xf numFmtId="0" fontId="15" fillId="0" borderId="78" xfId="0" applyFont="1" applyBorder="1">
      <alignment vertical="center"/>
    </xf>
    <xf numFmtId="0" fontId="18" fillId="7" borderId="30" xfId="0" applyFont="1" applyFill="1" applyBorder="1" applyAlignment="1">
      <alignment wrapText="1"/>
    </xf>
    <xf numFmtId="0" fontId="18" fillId="7" borderId="1" xfId="0" applyFont="1" applyFill="1" applyBorder="1" applyAlignment="1">
      <alignment wrapText="1"/>
    </xf>
    <xf numFmtId="0" fontId="39" fillId="0" borderId="0" xfId="0" applyFont="1" applyAlignment="1">
      <alignment horizontal="center" wrapText="1"/>
    </xf>
    <xf numFmtId="0" fontId="40" fillId="6" borderId="64" xfId="0" applyFont="1" applyFill="1" applyBorder="1" applyAlignment="1">
      <alignment wrapText="1"/>
    </xf>
    <xf numFmtId="40" fontId="25" fillId="0" borderId="17" xfId="4" applyNumberFormat="1" applyFont="1" applyFill="1" applyBorder="1">
      <alignment vertical="center"/>
    </xf>
    <xf numFmtId="0" fontId="24" fillId="7" borderId="1" xfId="0" applyFont="1" applyFill="1" applyBorder="1" applyAlignment="1">
      <alignment wrapText="1"/>
    </xf>
    <xf numFmtId="0" fontId="0" fillId="7" borderId="30" xfId="0" applyFill="1" applyBorder="1">
      <alignment vertical="center"/>
    </xf>
    <xf numFmtId="38" fontId="35" fillId="0" borderId="29" xfId="4" applyFont="1" applyFill="1" applyBorder="1">
      <alignment vertical="center"/>
    </xf>
    <xf numFmtId="38" fontId="0" fillId="0" borderId="79" xfId="4" applyFont="1" applyBorder="1">
      <alignment vertical="center"/>
    </xf>
    <xf numFmtId="0" fontId="24" fillId="0" borderId="80" xfId="0" applyFont="1" applyBorder="1" applyAlignment="1">
      <alignment wrapText="1"/>
    </xf>
    <xf numFmtId="0" fontId="37" fillId="6" borderId="82" xfId="0" applyFont="1" applyFill="1" applyBorder="1" applyAlignment="1">
      <alignment wrapText="1"/>
    </xf>
    <xf numFmtId="0" fontId="25" fillId="0" borderId="74" xfId="0" applyFont="1" applyBorder="1">
      <alignment vertical="center"/>
    </xf>
    <xf numFmtId="0" fontId="15" fillId="0" borderId="8" xfId="0" applyFont="1" applyBorder="1">
      <alignment vertical="center"/>
    </xf>
    <xf numFmtId="0" fontId="0" fillId="7" borderId="1" xfId="0" applyFill="1" applyBorder="1">
      <alignment vertical="center"/>
    </xf>
    <xf numFmtId="0" fontId="39" fillId="0" borderId="0" xfId="0" applyFont="1" applyAlignment="1">
      <alignment wrapText="1"/>
    </xf>
    <xf numFmtId="0" fontId="24" fillId="0" borderId="30" xfId="0" applyFont="1" applyBorder="1" applyAlignment="1">
      <alignment wrapText="1"/>
    </xf>
    <xf numFmtId="0" fontId="15" fillId="3" borderId="15" xfId="0" applyFont="1" applyFill="1" applyBorder="1" applyAlignment="1">
      <alignment vertical="center" wrapText="1"/>
    </xf>
    <xf numFmtId="38" fontId="24" fillId="3" borderId="34" xfId="4" applyFont="1" applyFill="1" applyBorder="1" applyAlignment="1">
      <alignment horizontal="right" wrapText="1"/>
    </xf>
    <xf numFmtId="38" fontId="24" fillId="3" borderId="32" xfId="4" applyFont="1" applyFill="1" applyBorder="1" applyAlignment="1">
      <alignment wrapText="1"/>
    </xf>
    <xf numFmtId="38" fontId="4" fillId="0" borderId="12" xfId="4" applyFont="1" applyBorder="1">
      <alignment vertical="center"/>
    </xf>
    <xf numFmtId="0" fontId="24" fillId="0" borderId="35" xfId="0" applyFont="1" applyBorder="1" applyAlignment="1">
      <alignment vertical="top" wrapText="1"/>
    </xf>
    <xf numFmtId="0" fontId="24" fillId="0" borderId="1" xfId="0" applyFont="1" applyBorder="1" applyAlignment="1">
      <alignment vertical="top" wrapText="1"/>
    </xf>
    <xf numFmtId="0" fontId="25" fillId="0" borderId="1" xfId="0" applyFont="1" applyBorder="1" applyAlignment="1">
      <alignment vertical="top" wrapText="1"/>
    </xf>
    <xf numFmtId="0" fontId="24" fillId="0" borderId="15" xfId="0" applyFont="1" applyBorder="1" applyAlignment="1">
      <alignment vertical="top" wrapText="1"/>
    </xf>
    <xf numFmtId="0" fontId="15" fillId="3" borderId="14" xfId="0" applyFont="1" applyFill="1" applyBorder="1" applyAlignment="1">
      <alignment vertical="center" wrapText="1"/>
    </xf>
    <xf numFmtId="0" fontId="25" fillId="0" borderId="20" xfId="0" applyFont="1" applyBorder="1">
      <alignment vertical="center"/>
    </xf>
    <xf numFmtId="0" fontId="15" fillId="0" borderId="20" xfId="0" applyFont="1" applyBorder="1">
      <alignment vertical="center"/>
    </xf>
    <xf numFmtId="0" fontId="24" fillId="0" borderId="83" xfId="0" applyFont="1" applyBorder="1" applyAlignment="1">
      <alignment vertical="center" wrapText="1"/>
    </xf>
    <xf numFmtId="178" fontId="24" fillId="0" borderId="83" xfId="0" applyNumberFormat="1" applyFont="1" applyBorder="1" applyAlignment="1">
      <alignment vertical="center" wrapText="1"/>
    </xf>
    <xf numFmtId="0" fontId="15" fillId="0" borderId="83" xfId="0" applyFont="1" applyBorder="1" applyAlignment="1">
      <alignment vertical="center" wrapText="1"/>
    </xf>
    <xf numFmtId="0" fontId="24" fillId="0" borderId="79" xfId="0" applyFont="1" applyBorder="1" applyAlignment="1">
      <alignment vertical="center" wrapText="1"/>
    </xf>
    <xf numFmtId="178" fontId="24" fillId="0" borderId="79" xfId="0" applyNumberFormat="1" applyFont="1" applyBorder="1" applyAlignment="1">
      <alignment vertical="center" wrapText="1"/>
    </xf>
    <xf numFmtId="0" fontId="15" fillId="0" borderId="79" xfId="0" applyFont="1" applyBorder="1" applyAlignment="1">
      <alignment vertical="center" wrapText="1"/>
    </xf>
    <xf numFmtId="178" fontId="24" fillId="0" borderId="0" xfId="0" applyNumberFormat="1" applyFont="1" applyAlignment="1">
      <alignment vertical="center" wrapText="1"/>
    </xf>
    <xf numFmtId="0" fontId="15" fillId="0" borderId="0" xfId="0" applyFont="1" applyAlignment="1">
      <alignment vertical="center" wrapText="1"/>
    </xf>
    <xf numFmtId="0" fontId="24" fillId="0" borderId="0" xfId="0" applyFont="1">
      <alignment vertical="center"/>
    </xf>
    <xf numFmtId="38" fontId="25" fillId="0" borderId="16" xfId="4" applyFont="1" applyBorder="1">
      <alignment vertical="center"/>
    </xf>
    <xf numFmtId="38" fontId="25" fillId="0" borderId="19" xfId="4" applyFont="1" applyBorder="1">
      <alignment vertical="center"/>
    </xf>
    <xf numFmtId="38" fontId="25" fillId="0" borderId="17" xfId="4" applyFont="1" applyBorder="1" applyAlignment="1">
      <alignment vertical="center" wrapText="1"/>
    </xf>
    <xf numFmtId="0" fontId="0" fillId="0" borderId="0" xfId="0" applyAlignment="1">
      <alignment vertical="center" wrapText="1"/>
    </xf>
    <xf numFmtId="0" fontId="0" fillId="0" borderId="1" xfId="0" applyBorder="1" applyAlignment="1">
      <alignment vertical="top" wrapText="1"/>
    </xf>
    <xf numFmtId="38" fontId="0" fillId="0" borderId="33" xfId="4" applyFont="1" applyBorder="1">
      <alignment vertical="center"/>
    </xf>
    <xf numFmtId="0" fontId="0" fillId="0" borderId="33" xfId="0" applyBorder="1">
      <alignment vertical="center"/>
    </xf>
    <xf numFmtId="0" fontId="0" fillId="3" borderId="32" xfId="0" applyFill="1" applyBorder="1">
      <alignment vertical="center"/>
    </xf>
    <xf numFmtId="0" fontId="16" fillId="0" borderId="2" xfId="0" applyFont="1" applyBorder="1" applyAlignment="1">
      <alignment vertical="top" wrapText="1"/>
    </xf>
    <xf numFmtId="0" fontId="16" fillId="0" borderId="3" xfId="0" applyFont="1" applyBorder="1" applyAlignment="1">
      <alignment vertical="top" wrapText="1"/>
    </xf>
    <xf numFmtId="0" fontId="16" fillId="0" borderId="6" xfId="0" applyFont="1" applyBorder="1" applyAlignment="1">
      <alignment vertical="top" wrapText="1"/>
    </xf>
    <xf numFmtId="0" fontId="19" fillId="0" borderId="0" xfId="0" applyFont="1" applyAlignment="1">
      <alignment vertical="center" wrapText="1"/>
    </xf>
    <xf numFmtId="0" fontId="42" fillId="0" borderId="0" xfId="0" applyFont="1" applyAlignment="1">
      <alignment vertical="center" wrapText="1"/>
    </xf>
    <xf numFmtId="0" fontId="24" fillId="0" borderId="35" xfId="0" applyFont="1" applyBorder="1" applyAlignment="1">
      <alignment wrapText="1"/>
    </xf>
    <xf numFmtId="0" fontId="36" fillId="0" borderId="0" xfId="0" applyFont="1" applyAlignment="1">
      <alignment vertical="center" wrapText="1"/>
    </xf>
    <xf numFmtId="0" fontId="24" fillId="0" borderId="84" xfId="0" applyFont="1" applyBorder="1" applyAlignment="1">
      <alignment wrapText="1"/>
    </xf>
    <xf numFmtId="0" fontId="24" fillId="0" borderId="0" xfId="0" applyFont="1" applyAlignment="1">
      <alignment horizontal="center" wrapText="1"/>
    </xf>
    <xf numFmtId="1" fontId="31" fillId="0" borderId="0" xfId="0" applyNumberFormat="1" applyFont="1">
      <alignment vertical="center"/>
    </xf>
    <xf numFmtId="0" fontId="36" fillId="0" borderId="14" xfId="0" applyFont="1" applyBorder="1" applyAlignment="1">
      <alignment wrapText="1"/>
    </xf>
    <xf numFmtId="0" fontId="36" fillId="0" borderId="18" xfId="0" applyFont="1" applyBorder="1" applyAlignment="1">
      <alignment wrapText="1"/>
    </xf>
    <xf numFmtId="0" fontId="36" fillId="0" borderId="1" xfId="0" applyFont="1" applyBorder="1" applyAlignment="1">
      <alignment vertical="center" wrapText="1"/>
    </xf>
    <xf numFmtId="0" fontId="24" fillId="0" borderId="1" xfId="0" applyFont="1" applyBorder="1" applyAlignment="1">
      <alignment wrapText="1"/>
    </xf>
    <xf numFmtId="38" fontId="24" fillId="0" borderId="1" xfId="4" applyFont="1" applyBorder="1" applyAlignment="1">
      <alignment horizontal="right" wrapText="1"/>
    </xf>
    <xf numFmtId="0" fontId="15" fillId="0" borderId="1" xfId="0" applyFont="1" applyBorder="1">
      <alignment vertical="center"/>
    </xf>
    <xf numFmtId="3" fontId="25" fillId="0" borderId="1" xfId="0" applyNumberFormat="1" applyFont="1" applyBorder="1" applyAlignment="1"/>
    <xf numFmtId="0" fontId="36" fillId="0" borderId="29" xfId="0" applyFont="1" applyBorder="1">
      <alignment vertical="center"/>
    </xf>
    <xf numFmtId="38" fontId="24" fillId="0" borderId="1" xfId="4" applyFont="1" applyBorder="1" applyAlignment="1">
      <alignment horizontal="right" vertical="center" wrapText="1"/>
    </xf>
    <xf numFmtId="0" fontId="8" fillId="0" borderId="1" xfId="0" applyFont="1" applyBorder="1" applyAlignment="1">
      <alignment horizontal="center" vertical="center" wrapText="1"/>
    </xf>
    <xf numFmtId="0" fontId="8" fillId="0" borderId="1" xfId="0" applyFont="1" applyBorder="1">
      <alignment vertical="center"/>
    </xf>
    <xf numFmtId="0" fontId="44" fillId="0" borderId="0" xfId="0" applyFont="1" applyAlignment="1">
      <alignment vertical="top"/>
    </xf>
    <xf numFmtId="0" fontId="41" fillId="0" borderId="1" xfId="0" applyFont="1" applyBorder="1">
      <alignment vertical="center"/>
    </xf>
    <xf numFmtId="0" fontId="41" fillId="0" borderId="31" xfId="0" applyFont="1" applyBorder="1">
      <alignment vertical="center"/>
    </xf>
    <xf numFmtId="0" fontId="41" fillId="0" borderId="29" xfId="0" applyFont="1" applyBorder="1">
      <alignment vertical="center"/>
    </xf>
    <xf numFmtId="0" fontId="8" fillId="0" borderId="0" xfId="0" applyFont="1">
      <alignment vertical="center"/>
    </xf>
    <xf numFmtId="0" fontId="8" fillId="0" borderId="29" xfId="0" applyFont="1" applyBorder="1">
      <alignment vertical="center"/>
    </xf>
    <xf numFmtId="0" fontId="8" fillId="0" borderId="0" xfId="0" applyFont="1" applyAlignment="1">
      <alignment vertical="center" wrapText="1"/>
    </xf>
    <xf numFmtId="0" fontId="41" fillId="0" borderId="0" xfId="0" applyFont="1">
      <alignment vertical="center"/>
    </xf>
    <xf numFmtId="0" fontId="25" fillId="4" borderId="0" xfId="0" applyFont="1" applyFill="1">
      <alignment vertical="center"/>
    </xf>
    <xf numFmtId="0" fontId="5" fillId="2" borderId="4" xfId="0" applyFont="1" applyFill="1" applyBorder="1" applyAlignment="1" applyProtection="1">
      <alignment vertical="center" wrapText="1"/>
      <protection locked="0"/>
    </xf>
    <xf numFmtId="0" fontId="46" fillId="0" borderId="0" xfId="0" applyFont="1" applyAlignment="1">
      <alignment vertical="center" wrapText="1"/>
    </xf>
    <xf numFmtId="0" fontId="47" fillId="0" borderId="0" xfId="0" applyFont="1" applyAlignment="1">
      <alignment vertical="center" wrapText="1"/>
    </xf>
    <xf numFmtId="38" fontId="24" fillId="4" borderId="39" xfId="4" applyFont="1" applyFill="1" applyBorder="1" applyAlignment="1" applyProtection="1">
      <alignment horizontal="right" vertical="center" wrapText="1"/>
      <protection locked="0"/>
    </xf>
    <xf numFmtId="38" fontId="24" fillId="4" borderId="42" xfId="4" applyFont="1" applyFill="1" applyBorder="1" applyAlignment="1" applyProtection="1">
      <alignment horizontal="right" vertical="center" wrapText="1"/>
      <protection locked="0"/>
    </xf>
    <xf numFmtId="38" fontId="24" fillId="4" borderId="39" xfId="4" applyFont="1" applyFill="1" applyBorder="1" applyAlignment="1" applyProtection="1">
      <alignment vertical="center" wrapText="1"/>
      <protection locked="0"/>
    </xf>
    <xf numFmtId="38" fontId="24" fillId="4" borderId="50" xfId="4" applyFont="1" applyFill="1" applyBorder="1" applyAlignment="1" applyProtection="1">
      <alignment vertical="center" wrapText="1"/>
      <protection locked="0"/>
    </xf>
    <xf numFmtId="38" fontId="24" fillId="4" borderId="1" xfId="4" applyFont="1" applyFill="1" applyBorder="1" applyAlignment="1" applyProtection="1">
      <alignment horizontal="right" wrapText="1"/>
      <protection locked="0"/>
    </xf>
    <xf numFmtId="38" fontId="24" fillId="4" borderId="1" xfId="4" applyFont="1" applyFill="1" applyBorder="1" applyAlignment="1" applyProtection="1">
      <alignment horizontal="right" vertical="center" wrapText="1"/>
      <protection locked="0"/>
    </xf>
    <xf numFmtId="178" fontId="24" fillId="4" borderId="1" xfId="0" applyNumberFormat="1" applyFont="1" applyFill="1" applyBorder="1" applyAlignment="1" applyProtection="1">
      <alignment vertical="center" wrapText="1"/>
      <protection locked="0"/>
    </xf>
    <xf numFmtId="178" fontId="24" fillId="4" borderId="83" xfId="0" applyNumberFormat="1" applyFont="1" applyFill="1" applyBorder="1" applyAlignment="1" applyProtection="1">
      <alignment vertical="center" wrapText="1"/>
      <protection locked="0"/>
    </xf>
    <xf numFmtId="40" fontId="24" fillId="4" borderId="33" xfId="4" applyNumberFormat="1" applyFont="1" applyFill="1" applyBorder="1" applyAlignment="1" applyProtection="1">
      <alignment horizontal="right" wrapText="1"/>
      <protection locked="0"/>
    </xf>
    <xf numFmtId="40" fontId="24" fillId="4" borderId="18" xfId="4" applyNumberFormat="1" applyFont="1" applyFill="1" applyBorder="1" applyAlignment="1" applyProtection="1">
      <alignment horizontal="right" wrapText="1"/>
      <protection locked="0"/>
    </xf>
    <xf numFmtId="40" fontId="24" fillId="4" borderId="14" xfId="4" applyNumberFormat="1" applyFont="1" applyFill="1" applyBorder="1" applyAlignment="1" applyProtection="1">
      <alignment horizontal="right" wrapText="1"/>
      <protection locked="0"/>
    </xf>
    <xf numFmtId="40" fontId="24" fillId="4" borderId="81" xfId="4" applyNumberFormat="1" applyFont="1" applyFill="1" applyBorder="1" applyAlignment="1" applyProtection="1">
      <alignment horizontal="right" wrapText="1"/>
      <protection locked="0"/>
    </xf>
    <xf numFmtId="38" fontId="24" fillId="4" borderId="9" xfId="4" applyFont="1" applyFill="1" applyBorder="1" applyAlignment="1" applyProtection="1">
      <alignment horizontal="right" vertical="center" wrapText="1"/>
      <protection locked="0"/>
    </xf>
    <xf numFmtId="0" fontId="6" fillId="2" borderId="1" xfId="0" applyFont="1" applyFill="1" applyBorder="1" applyProtection="1">
      <alignment vertical="center"/>
      <protection locked="0"/>
    </xf>
    <xf numFmtId="0" fontId="6" fillId="2" borderId="7" xfId="0" applyFont="1" applyFill="1" applyBorder="1" applyProtection="1">
      <alignment vertical="center"/>
      <protection locked="0"/>
    </xf>
    <xf numFmtId="49" fontId="6" fillId="2" borderId="1" xfId="0" applyNumberFormat="1" applyFont="1" applyFill="1" applyBorder="1" applyAlignment="1" applyProtection="1">
      <alignment horizontal="center" vertical="center"/>
      <protection locked="0"/>
    </xf>
    <xf numFmtId="0" fontId="5" fillId="3" borderId="0" xfId="0" applyFont="1" applyFill="1">
      <alignment vertical="center"/>
    </xf>
    <xf numFmtId="0" fontId="16" fillId="3" borderId="0" xfId="0" applyFont="1" applyFill="1" applyAlignment="1">
      <alignment vertical="top"/>
    </xf>
    <xf numFmtId="0" fontId="48" fillId="0" borderId="0" xfId="0" applyFont="1" applyAlignment="1">
      <alignment vertical="top" wrapText="1"/>
    </xf>
    <xf numFmtId="38" fontId="24" fillId="4" borderId="33" xfId="4" applyFont="1" applyFill="1" applyBorder="1" applyAlignment="1" applyProtection="1">
      <alignment vertical="center" wrapText="1"/>
      <protection locked="0"/>
    </xf>
    <xf numFmtId="38" fontId="24" fillId="4" borderId="50" xfId="4" applyFont="1" applyFill="1" applyBorder="1" applyAlignment="1" applyProtection="1">
      <alignment horizontal="center" vertical="center" wrapText="1"/>
      <protection locked="0"/>
    </xf>
    <xf numFmtId="38" fontId="24" fillId="4" borderId="39" xfId="4" applyFont="1" applyFill="1" applyBorder="1" applyAlignment="1" applyProtection="1">
      <alignment horizontal="center" vertical="center" wrapText="1"/>
      <protection locked="0"/>
    </xf>
    <xf numFmtId="38" fontId="24" fillId="0" borderId="0" xfId="4" applyFont="1" applyFill="1" applyBorder="1" applyAlignment="1" applyProtection="1">
      <alignment horizontal="center" vertical="center" wrapText="1"/>
      <protection locked="0"/>
    </xf>
    <xf numFmtId="38" fontId="24" fillId="4" borderId="33" xfId="4" applyFont="1" applyFill="1" applyBorder="1" applyAlignment="1" applyProtection="1">
      <alignment horizontal="right" wrapText="1"/>
      <protection locked="0"/>
    </xf>
    <xf numFmtId="0" fontId="24" fillId="4" borderId="1" xfId="0" applyFont="1" applyFill="1" applyBorder="1" applyAlignment="1" applyProtection="1">
      <alignment horizontal="center" vertical="center" wrapText="1"/>
      <protection locked="0"/>
    </xf>
    <xf numFmtId="38" fontId="24" fillId="4" borderId="33" xfId="4" applyFont="1" applyFill="1" applyBorder="1" applyAlignment="1" applyProtection="1">
      <alignment wrapText="1"/>
      <protection locked="0"/>
    </xf>
    <xf numFmtId="38" fontId="24" fillId="5" borderId="0" xfId="4" applyFont="1" applyFill="1" applyBorder="1" applyAlignment="1">
      <alignment horizontal="right" wrapText="1"/>
    </xf>
    <xf numFmtId="0" fontId="24" fillId="3" borderId="36" xfId="0" applyFont="1" applyFill="1" applyBorder="1" applyAlignment="1">
      <alignment vertical="center" wrapText="1"/>
    </xf>
    <xf numFmtId="0" fontId="24" fillId="0" borderId="36" xfId="0" applyFont="1" applyBorder="1" applyAlignment="1">
      <alignment vertical="center" wrapText="1"/>
    </xf>
    <xf numFmtId="38" fontId="24" fillId="0" borderId="39" xfId="4" applyFont="1" applyBorder="1" applyAlignment="1" applyProtection="1">
      <alignment horizontal="right" vertical="center" wrapText="1"/>
    </xf>
    <xf numFmtId="38" fontId="24" fillId="0" borderId="43" xfId="4" applyFont="1" applyBorder="1" applyAlignment="1" applyProtection="1">
      <alignment horizontal="right" vertical="center" wrapText="1"/>
    </xf>
    <xf numFmtId="38" fontId="24" fillId="0" borderId="59" xfId="4" applyFont="1" applyBorder="1" applyAlignment="1" applyProtection="1">
      <alignment horizontal="right" vertical="center" wrapText="1"/>
    </xf>
    <xf numFmtId="38" fontId="24" fillId="5" borderId="0" xfId="4" applyFont="1" applyFill="1" applyBorder="1" applyAlignment="1" applyProtection="1">
      <alignment horizontal="center" vertical="center" wrapText="1"/>
    </xf>
    <xf numFmtId="38" fontId="24" fillId="3" borderId="0" xfId="4" applyFont="1" applyFill="1" applyBorder="1" applyAlignment="1" applyProtection="1">
      <alignment horizontal="right" vertical="center" wrapText="1"/>
    </xf>
    <xf numFmtId="38" fontId="24" fillId="0" borderId="0" xfId="4" applyFont="1" applyAlignment="1" applyProtection="1">
      <alignment horizontal="right" vertical="center" wrapText="1"/>
    </xf>
    <xf numFmtId="38" fontId="24" fillId="0" borderId="85" xfId="4" applyFont="1" applyFill="1" applyBorder="1" applyAlignment="1" applyProtection="1">
      <alignment horizontal="center" vertical="center" wrapText="1"/>
    </xf>
    <xf numFmtId="38" fontId="24" fillId="0" borderId="58" xfId="4" applyFont="1" applyBorder="1" applyAlignment="1" applyProtection="1">
      <alignment vertical="center" wrapText="1"/>
    </xf>
    <xf numFmtId="38" fontId="24" fillId="0" borderId="85" xfId="4" applyFont="1" applyBorder="1" applyAlignment="1" applyProtection="1">
      <alignment vertical="center" wrapText="1"/>
    </xf>
    <xf numFmtId="38" fontId="24" fillId="0" borderId="86" xfId="4" applyFont="1" applyFill="1" applyBorder="1" applyAlignment="1" applyProtection="1">
      <alignment horizontal="center" vertical="center" wrapText="1"/>
    </xf>
    <xf numFmtId="38" fontId="24" fillId="0" borderId="34" xfId="4" applyFont="1" applyBorder="1" applyAlignment="1" applyProtection="1">
      <alignment vertical="center" wrapText="1"/>
    </xf>
    <xf numFmtId="38" fontId="24" fillId="0" borderId="88" xfId="4" applyFont="1" applyBorder="1" applyAlignment="1" applyProtection="1">
      <alignment vertical="center" wrapText="1"/>
    </xf>
    <xf numFmtId="38" fontId="24" fillId="0" borderId="87" xfId="4" applyFont="1" applyFill="1" applyBorder="1" applyAlignment="1" applyProtection="1">
      <alignment horizontal="center" vertical="center" wrapText="1"/>
    </xf>
    <xf numFmtId="38" fontId="24" fillId="0" borderId="60" xfId="4" applyFont="1" applyBorder="1" applyAlignment="1" applyProtection="1">
      <alignment vertical="center" wrapText="1"/>
    </xf>
    <xf numFmtId="38" fontId="24" fillId="0" borderId="87" xfId="4" applyFont="1" applyBorder="1" applyAlignment="1" applyProtection="1">
      <alignment vertical="center" wrapText="1"/>
    </xf>
    <xf numFmtId="38" fontId="18" fillId="0" borderId="0" xfId="4" applyFont="1" applyAlignment="1" applyProtection="1">
      <alignment wrapText="1"/>
    </xf>
    <xf numFmtId="38" fontId="0" fillId="0" borderId="0" xfId="4" applyFont="1" applyProtection="1">
      <alignment vertical="center"/>
    </xf>
    <xf numFmtId="38" fontId="24" fillId="0" borderId="1" xfId="4" applyFont="1" applyBorder="1" applyAlignment="1" applyProtection="1">
      <alignment horizontal="right" vertical="center" wrapText="1"/>
    </xf>
    <xf numFmtId="0" fontId="24" fillId="0" borderId="1" xfId="0" applyFont="1" applyBorder="1" applyAlignment="1">
      <alignment horizontal="center" wrapText="1"/>
    </xf>
    <xf numFmtId="0" fontId="24" fillId="4" borderId="9" xfId="0" applyFont="1" applyFill="1" applyBorder="1" applyAlignment="1" applyProtection="1">
      <alignment horizontal="center" vertical="center" wrapText="1"/>
      <protection locked="0"/>
    </xf>
    <xf numFmtId="38" fontId="24" fillId="0" borderId="91" xfId="4" applyFont="1" applyFill="1" applyBorder="1" applyAlignment="1" applyProtection="1">
      <alignment horizontal="center" vertical="center" wrapText="1"/>
    </xf>
    <xf numFmtId="0" fontId="24" fillId="4" borderId="89" xfId="0" applyFont="1" applyFill="1" applyBorder="1" applyAlignment="1" applyProtection="1">
      <alignment horizontal="center" vertical="center" wrapText="1"/>
      <protection locked="0"/>
    </xf>
    <xf numFmtId="38" fontId="24" fillId="0" borderId="34" xfId="4" applyFont="1" applyBorder="1" applyAlignment="1" applyProtection="1">
      <alignment horizontal="right" wrapText="1"/>
    </xf>
    <xf numFmtId="38" fontId="24" fillId="0" borderId="15" xfId="4" applyFont="1" applyBorder="1" applyAlignment="1" applyProtection="1">
      <alignment horizontal="right" wrapText="1"/>
    </xf>
    <xf numFmtId="38" fontId="0" fillId="0" borderId="93" xfId="4" applyFont="1" applyBorder="1" applyProtection="1">
      <alignment vertical="center"/>
    </xf>
    <xf numFmtId="0" fontId="24" fillId="6" borderId="92" xfId="0" applyFont="1" applyFill="1" applyBorder="1" applyAlignment="1">
      <alignment horizontal="center" wrapText="1"/>
    </xf>
    <xf numFmtId="38" fontId="24" fillId="0" borderId="94" xfId="4" applyFont="1" applyFill="1" applyBorder="1" applyAlignment="1" applyProtection="1">
      <alignment wrapText="1"/>
    </xf>
    <xf numFmtId="38" fontId="0" fillId="0" borderId="77" xfId="4" applyFont="1" applyBorder="1" applyProtection="1">
      <alignment vertical="center"/>
    </xf>
    <xf numFmtId="38" fontId="24" fillId="3" borderId="0" xfId="4" applyFont="1" applyFill="1" applyBorder="1" applyAlignment="1">
      <alignment wrapText="1"/>
    </xf>
    <xf numFmtId="38" fontId="24" fillId="0" borderId="96" xfId="4" applyFont="1" applyFill="1" applyBorder="1" applyAlignment="1" applyProtection="1">
      <alignment wrapText="1"/>
    </xf>
    <xf numFmtId="38" fontId="24" fillId="0" borderId="86" xfId="4" applyFont="1" applyFill="1" applyBorder="1" applyAlignment="1" applyProtection="1">
      <alignment wrapText="1"/>
    </xf>
    <xf numFmtId="38" fontId="24" fillId="0" borderId="97" xfId="4" applyFont="1" applyFill="1" applyBorder="1" applyAlignment="1" applyProtection="1">
      <alignment wrapText="1"/>
    </xf>
    <xf numFmtId="38" fontId="24" fillId="0" borderId="98" xfId="4" applyFont="1" applyFill="1" applyBorder="1" applyAlignment="1" applyProtection="1">
      <alignment wrapText="1"/>
    </xf>
    <xf numFmtId="0" fontId="41" fillId="0" borderId="63" xfId="0" applyFont="1" applyBorder="1">
      <alignment vertical="center"/>
    </xf>
    <xf numFmtId="0" fontId="16" fillId="0" borderId="1" xfId="0" applyFont="1" applyBorder="1" applyAlignment="1">
      <alignment vertical="top" wrapText="1"/>
    </xf>
    <xf numFmtId="0" fontId="4" fillId="0" borderId="1" xfId="0" applyFont="1" applyBorder="1">
      <alignment vertical="center"/>
    </xf>
    <xf numFmtId="0" fontId="49" fillId="0" borderId="1" xfId="0" applyFont="1" applyBorder="1" applyAlignment="1">
      <alignment horizontal="center" vertical="top" wrapText="1"/>
    </xf>
    <xf numFmtId="0" fontId="11" fillId="0" borderId="0" xfId="0" applyFont="1" applyAlignment="1">
      <alignment horizontal="right" vertical="top"/>
    </xf>
    <xf numFmtId="38" fontId="24" fillId="0" borderId="99" xfId="4" applyFont="1" applyFill="1" applyBorder="1" applyAlignment="1" applyProtection="1">
      <alignment horizontal="center" vertical="center" wrapText="1"/>
    </xf>
    <xf numFmtId="38" fontId="24" fillId="0" borderId="100" xfId="4" applyFont="1" applyFill="1" applyBorder="1" applyAlignment="1" applyProtection="1">
      <alignment horizontal="center" vertical="center" wrapText="1"/>
    </xf>
    <xf numFmtId="178" fontId="24" fillId="0" borderId="31" xfId="0" applyNumberFormat="1" applyFont="1" applyBorder="1" applyAlignment="1">
      <alignment vertical="center" wrapText="1"/>
    </xf>
    <xf numFmtId="0" fontId="15" fillId="0" borderId="31" xfId="0" applyFont="1" applyBorder="1" applyAlignment="1">
      <alignment vertical="center" wrapText="1"/>
    </xf>
    <xf numFmtId="38" fontId="24" fillId="0" borderId="101" xfId="4" applyFont="1" applyFill="1" applyBorder="1" applyAlignment="1" applyProtection="1">
      <alignment horizontal="center" vertical="center" wrapText="1"/>
    </xf>
    <xf numFmtId="178" fontId="24" fillId="0" borderId="102" xfId="0" applyNumberFormat="1" applyFont="1" applyBorder="1" applyAlignment="1">
      <alignment vertical="center" wrapText="1"/>
    </xf>
    <xf numFmtId="0" fontId="15" fillId="0" borderId="102" xfId="0" applyFont="1" applyBorder="1" applyAlignment="1">
      <alignment vertical="center" wrapText="1"/>
    </xf>
    <xf numFmtId="0" fontId="24" fillId="0" borderId="103" xfId="0" applyFont="1" applyBorder="1">
      <alignment vertical="center"/>
    </xf>
    <xf numFmtId="0" fontId="24" fillId="0" borderId="47" xfId="0" applyFont="1" applyBorder="1" applyAlignment="1">
      <alignment vertical="center" wrapText="1"/>
    </xf>
    <xf numFmtId="0" fontId="24" fillId="0" borderId="104" xfId="0" applyFont="1" applyBorder="1">
      <alignment vertical="center"/>
    </xf>
    <xf numFmtId="180" fontId="24" fillId="4" borderId="74" xfId="4" applyNumberFormat="1" applyFont="1" applyFill="1" applyBorder="1" applyAlignment="1" applyProtection="1">
      <alignment wrapText="1"/>
      <protection locked="0"/>
    </xf>
    <xf numFmtId="0" fontId="15" fillId="6" borderId="65" xfId="0" applyFont="1" applyFill="1" applyBorder="1" applyAlignment="1">
      <alignment horizontal="center" wrapText="1"/>
    </xf>
    <xf numFmtId="9" fontId="4" fillId="0" borderId="12" xfId="5" applyFont="1" applyBorder="1">
      <alignment vertical="center"/>
    </xf>
    <xf numFmtId="0" fontId="4" fillId="0" borderId="13" xfId="0" applyFont="1" applyBorder="1" applyAlignment="1">
      <alignment vertical="center" wrapText="1"/>
    </xf>
    <xf numFmtId="0" fontId="50" fillId="0" borderId="0" xfId="0" applyFont="1" applyAlignment="1">
      <alignment vertical="center" wrapText="1"/>
    </xf>
    <xf numFmtId="0" fontId="24" fillId="4" borderId="0" xfId="0" applyFont="1" applyFill="1" applyAlignment="1">
      <alignment vertical="center" wrapText="1"/>
    </xf>
    <xf numFmtId="0" fontId="0" fillId="4" borderId="0" xfId="0" applyFill="1">
      <alignment vertical="center"/>
    </xf>
    <xf numFmtId="0" fontId="52" fillId="0" borderId="0" xfId="0" applyFont="1" applyAlignment="1">
      <alignment vertical="center" wrapText="1"/>
    </xf>
    <xf numFmtId="0" fontId="4" fillId="0" borderId="0" xfId="0" applyFont="1" applyAlignment="1">
      <alignment vertical="center" wrapText="1"/>
    </xf>
    <xf numFmtId="0" fontId="4" fillId="0" borderId="0" xfId="0" quotePrefix="1" applyFont="1">
      <alignment vertical="center"/>
    </xf>
    <xf numFmtId="0" fontId="6" fillId="0" borderId="23" xfId="0" applyFont="1" applyBorder="1" applyAlignment="1">
      <alignment vertical="center" wrapText="1"/>
    </xf>
    <xf numFmtId="179" fontId="14" fillId="0" borderId="0" xfId="4" applyNumberFormat="1" applyFont="1" applyBorder="1">
      <alignment vertical="center"/>
    </xf>
    <xf numFmtId="0" fontId="18" fillId="0" borderId="0" xfId="0" applyFont="1" applyAlignment="1">
      <alignment vertical="center" readingOrder="1"/>
    </xf>
    <xf numFmtId="0" fontId="4" fillId="0" borderId="10" xfId="0" applyFont="1" applyBorder="1" applyAlignment="1">
      <alignment horizontal="center" vertical="center"/>
    </xf>
    <xf numFmtId="0" fontId="5" fillId="2" borderId="18" xfId="0" applyFont="1" applyFill="1" applyBorder="1" applyAlignment="1" applyProtection="1">
      <alignment horizontal="right" vertical="center" wrapText="1"/>
      <protection locked="0"/>
    </xf>
    <xf numFmtId="0" fontId="16" fillId="0" borderId="5" xfId="0" applyFont="1" applyBorder="1" applyAlignment="1">
      <alignment horizontal="center" vertical="top"/>
    </xf>
    <xf numFmtId="0" fontId="16" fillId="0" borderId="4" xfId="0" applyFont="1" applyBorder="1" applyAlignment="1">
      <alignment horizontal="center" vertical="top"/>
    </xf>
    <xf numFmtId="0" fontId="16" fillId="0" borderId="8" xfId="0" applyFont="1" applyBorder="1" applyAlignment="1">
      <alignment horizontal="center" vertical="top"/>
    </xf>
    <xf numFmtId="0" fontId="43" fillId="0" borderId="2" xfId="0" applyFont="1" applyBorder="1" applyAlignment="1">
      <alignment vertical="top" wrapText="1"/>
    </xf>
    <xf numFmtId="38" fontId="43" fillId="0" borderId="5" xfId="4" applyFont="1" applyBorder="1" applyAlignment="1" applyProtection="1">
      <alignment vertical="top"/>
    </xf>
    <xf numFmtId="38" fontId="16" fillId="0" borderId="5" xfId="4" applyFont="1" applyBorder="1" applyAlignment="1" applyProtection="1">
      <alignment vertical="top"/>
    </xf>
    <xf numFmtId="38" fontId="16" fillId="0" borderId="4" xfId="4" applyFont="1" applyBorder="1" applyAlignment="1" applyProtection="1">
      <alignment vertical="top"/>
    </xf>
    <xf numFmtId="0" fontId="16" fillId="0" borderId="6" xfId="0" applyFont="1" applyBorder="1" applyAlignment="1">
      <alignment vertical="top"/>
    </xf>
    <xf numFmtId="0" fontId="16" fillId="0" borderId="95" xfId="0" applyFont="1" applyBorder="1" applyAlignment="1">
      <alignment vertical="top"/>
    </xf>
    <xf numFmtId="38" fontId="16" fillId="0" borderId="95" xfId="4" applyFont="1" applyBorder="1" applyAlignment="1" applyProtection="1">
      <alignment horizontal="right" vertical="top"/>
    </xf>
    <xf numFmtId="0" fontId="4" fillId="0" borderId="12" xfId="0" applyFont="1" applyBorder="1">
      <alignment vertical="center"/>
    </xf>
    <xf numFmtId="181" fontId="4" fillId="0" borderId="13" xfId="5" applyNumberFormat="1" applyFont="1" applyBorder="1" applyProtection="1">
      <alignment vertical="center"/>
    </xf>
    <xf numFmtId="0" fontId="24" fillId="0" borderId="15" xfId="0" applyFont="1" applyBorder="1" applyAlignment="1">
      <alignment wrapText="1"/>
    </xf>
    <xf numFmtId="38" fontId="24" fillId="0" borderId="32" xfId="4" applyFont="1" applyBorder="1" applyAlignment="1" applyProtection="1">
      <alignment horizontal="right" wrapText="1"/>
    </xf>
    <xf numFmtId="0" fontId="15" fillId="0" borderId="15" xfId="0" applyFont="1" applyBorder="1">
      <alignment vertical="center"/>
    </xf>
    <xf numFmtId="38" fontId="25" fillId="0" borderId="0" xfId="4" applyFont="1" applyProtection="1">
      <alignment vertical="center"/>
    </xf>
    <xf numFmtId="38" fontId="35" fillId="0" borderId="0" xfId="4" applyFont="1" applyProtection="1">
      <alignment vertical="center"/>
    </xf>
    <xf numFmtId="38" fontId="24" fillId="0" borderId="19" xfId="4" applyFont="1" applyBorder="1" applyAlignment="1" applyProtection="1">
      <alignment horizontal="right" wrapText="1"/>
    </xf>
    <xf numFmtId="38" fontId="24" fillId="0" borderId="34" xfId="4" applyFont="1" applyBorder="1" applyAlignment="1" applyProtection="1">
      <alignment wrapText="1"/>
    </xf>
    <xf numFmtId="38" fontId="25" fillId="0" borderId="0" xfId="4" applyFont="1" applyAlignment="1" applyProtection="1">
      <alignment vertical="center" wrapText="1"/>
    </xf>
    <xf numFmtId="38" fontId="0" fillId="0" borderId="107" xfId="4" applyFont="1" applyBorder="1" applyProtection="1">
      <alignment vertical="center"/>
    </xf>
    <xf numFmtId="38" fontId="18" fillId="0" borderId="61" xfId="4" applyFont="1" applyBorder="1" applyAlignment="1" applyProtection="1">
      <alignment wrapText="1"/>
    </xf>
    <xf numFmtId="38" fontId="0" fillId="0" borderId="15" xfId="4" applyFont="1" applyBorder="1" applyProtection="1">
      <alignment vertical="center"/>
    </xf>
    <xf numFmtId="38" fontId="0" fillId="0" borderId="14" xfId="4" applyFont="1" applyBorder="1" applyProtection="1">
      <alignment vertical="center"/>
    </xf>
    <xf numFmtId="38" fontId="23" fillId="0" borderId="14" xfId="4" applyFont="1" applyBorder="1" applyProtection="1">
      <alignment vertical="center"/>
    </xf>
    <xf numFmtId="0" fontId="18" fillId="4" borderId="0" xfId="0" applyFont="1" applyFill="1" applyAlignment="1">
      <alignment wrapText="1"/>
    </xf>
    <xf numFmtId="0" fontId="37" fillId="6" borderId="64" xfId="0" applyFont="1" applyFill="1" applyBorder="1" applyAlignment="1">
      <alignment wrapText="1"/>
    </xf>
    <xf numFmtId="0" fontId="15" fillId="6" borderId="62" xfId="0" applyFont="1" applyFill="1" applyBorder="1" applyAlignment="1">
      <alignment horizontal="center" vertical="center" wrapText="1"/>
    </xf>
    <xf numFmtId="38" fontId="25" fillId="0" borderId="17" xfId="4" applyFont="1" applyFill="1" applyBorder="1" applyProtection="1">
      <alignment vertical="center"/>
    </xf>
    <xf numFmtId="40" fontId="6" fillId="4" borderId="33" xfId="4" applyNumberFormat="1" applyFont="1" applyFill="1" applyBorder="1" applyAlignment="1" applyProtection="1">
      <alignment horizontal="right" wrapText="1"/>
    </xf>
    <xf numFmtId="0" fontId="24" fillId="4" borderId="1" xfId="0" applyFont="1" applyFill="1" applyBorder="1" applyAlignment="1">
      <alignment horizontal="center" vertical="center" wrapText="1"/>
    </xf>
    <xf numFmtId="38" fontId="25" fillId="0" borderId="35" xfId="4" applyFont="1" applyBorder="1" applyProtection="1">
      <alignment vertical="center"/>
    </xf>
    <xf numFmtId="38" fontId="25" fillId="0" borderId="14" xfId="4" applyFont="1" applyFill="1" applyBorder="1" applyProtection="1">
      <alignment vertical="center"/>
    </xf>
    <xf numFmtId="0" fontId="24" fillId="0" borderId="69" xfId="0" applyFont="1" applyBorder="1" applyAlignment="1">
      <alignment wrapText="1"/>
    </xf>
    <xf numFmtId="38" fontId="25" fillId="0" borderId="16" xfId="4" applyFont="1" applyFill="1" applyBorder="1" applyProtection="1">
      <alignment vertical="center"/>
    </xf>
    <xf numFmtId="0" fontId="24" fillId="0" borderId="70" xfId="0" applyFont="1" applyBorder="1" applyAlignment="1">
      <alignment wrapText="1"/>
    </xf>
    <xf numFmtId="38" fontId="25" fillId="0" borderId="71" xfId="4" applyFont="1" applyFill="1" applyBorder="1" applyProtection="1">
      <alignment vertical="center"/>
    </xf>
    <xf numFmtId="38" fontId="25" fillId="0" borderId="72" xfId="4" applyFont="1" applyBorder="1" applyProtection="1">
      <alignment vertical="center"/>
    </xf>
    <xf numFmtId="0" fontId="24" fillId="0" borderId="74" xfId="0" applyFont="1" applyBorder="1" applyAlignment="1">
      <alignment wrapText="1"/>
    </xf>
    <xf numFmtId="38" fontId="35" fillId="0" borderId="75" xfId="4" applyFont="1" applyFill="1" applyBorder="1" applyProtection="1">
      <alignment vertical="center"/>
    </xf>
    <xf numFmtId="40" fontId="6" fillId="4" borderId="76" xfId="4" applyNumberFormat="1" applyFont="1" applyFill="1" applyBorder="1" applyAlignment="1" applyProtection="1">
      <alignment horizontal="right" wrapText="1"/>
    </xf>
    <xf numFmtId="0" fontId="24" fillId="4" borderId="89" xfId="0" applyFont="1" applyFill="1" applyBorder="1" applyAlignment="1">
      <alignment horizontal="center" vertical="center" wrapText="1"/>
    </xf>
    <xf numFmtId="0" fontId="5" fillId="0" borderId="0" xfId="0" applyFont="1" applyAlignment="1">
      <alignment vertical="top"/>
    </xf>
    <xf numFmtId="0" fontId="53" fillId="0" borderId="0" xfId="0" applyFont="1" applyAlignment="1">
      <alignment horizontal="left" vertical="center"/>
    </xf>
    <xf numFmtId="0" fontId="54" fillId="0" borderId="0" xfId="0" applyFont="1">
      <alignment vertical="center"/>
    </xf>
    <xf numFmtId="0" fontId="55" fillId="0" borderId="0" xfId="0" applyFont="1">
      <alignment vertical="center"/>
    </xf>
    <xf numFmtId="0" fontId="0" fillId="0" borderId="14" xfId="0" applyBorder="1" applyAlignment="1">
      <alignment vertical="center" wrapText="1"/>
    </xf>
    <xf numFmtId="178" fontId="25" fillId="0" borderId="15" xfId="0" applyNumberFormat="1" applyFont="1" applyBorder="1">
      <alignment vertical="center"/>
    </xf>
    <xf numFmtId="0" fontId="25" fillId="8" borderId="17" xfId="0" applyFont="1" applyFill="1" applyBorder="1">
      <alignment vertical="center"/>
    </xf>
    <xf numFmtId="178" fontId="25" fillId="8" borderId="14" xfId="0" applyNumberFormat="1" applyFont="1" applyFill="1" applyBorder="1">
      <alignment vertical="center"/>
    </xf>
    <xf numFmtId="0" fontId="24" fillId="8" borderId="14" xfId="0" applyFont="1" applyFill="1" applyBorder="1">
      <alignment vertical="center"/>
    </xf>
    <xf numFmtId="178" fontId="23" fillId="0" borderId="14" xfId="0" applyNumberFormat="1" applyFont="1" applyBorder="1">
      <alignment vertical="center"/>
    </xf>
    <xf numFmtId="0" fontId="27" fillId="0" borderId="0" xfId="3" applyFont="1">
      <alignment vertical="center"/>
    </xf>
    <xf numFmtId="0" fontId="24" fillId="0" borderId="54" xfId="0" applyFont="1" applyBorder="1" applyAlignment="1">
      <alignment vertical="center" wrapText="1"/>
    </xf>
    <xf numFmtId="0" fontId="25" fillId="0" borderId="54" xfId="0" applyFont="1" applyBorder="1" applyAlignment="1">
      <alignment vertical="center" wrapText="1"/>
    </xf>
    <xf numFmtId="0" fontId="24" fillId="0" borderId="53" xfId="0" applyFont="1" applyBorder="1" applyAlignment="1">
      <alignment vertical="center" wrapText="1"/>
    </xf>
    <xf numFmtId="0" fontId="24" fillId="0" borderId="55" xfId="0" applyFont="1" applyBorder="1" applyAlignment="1">
      <alignment vertical="center" wrapText="1"/>
    </xf>
    <xf numFmtId="0" fontId="23" fillId="6" borderId="111" xfId="0" applyFont="1" applyFill="1" applyBorder="1" applyAlignment="1">
      <alignment vertical="center" wrapText="1"/>
    </xf>
    <xf numFmtId="0" fontId="24" fillId="0" borderId="112" xfId="0" applyFont="1" applyBorder="1" applyAlignment="1">
      <alignment vertical="center" wrapText="1"/>
    </xf>
    <xf numFmtId="0" fontId="25" fillId="0" borderId="112" xfId="0" applyFont="1" applyBorder="1">
      <alignment vertical="center"/>
    </xf>
    <xf numFmtId="0" fontId="24" fillId="0" borderId="113" xfId="0" applyFont="1" applyBorder="1" applyAlignment="1">
      <alignment vertical="center" wrapText="1"/>
    </xf>
    <xf numFmtId="0" fontId="24" fillId="6" borderId="38" xfId="0" applyFont="1" applyFill="1" applyBorder="1" applyAlignment="1">
      <alignment horizontal="left" vertical="center" wrapText="1"/>
    </xf>
    <xf numFmtId="0" fontId="24" fillId="6" borderId="39" xfId="0" applyFont="1" applyFill="1" applyBorder="1" applyAlignment="1">
      <alignment horizontal="left" vertical="center" wrapText="1"/>
    </xf>
    <xf numFmtId="38" fontId="25" fillId="6" borderId="39" xfId="4" applyFont="1" applyFill="1" applyBorder="1" applyAlignment="1">
      <alignment horizontal="left" vertical="center" wrapText="1"/>
    </xf>
    <xf numFmtId="38" fontId="24" fillId="6" borderId="39" xfId="4" applyFont="1" applyFill="1" applyBorder="1" applyAlignment="1">
      <alignment horizontal="left" vertical="center" wrapText="1"/>
    </xf>
    <xf numFmtId="0" fontId="6" fillId="6" borderId="40" xfId="0" applyFont="1" applyFill="1" applyBorder="1" applyAlignment="1">
      <alignment horizontal="left" vertical="center" wrapText="1"/>
    </xf>
    <xf numFmtId="38" fontId="25" fillId="0" borderId="0" xfId="4" applyFont="1">
      <alignment vertical="center"/>
    </xf>
    <xf numFmtId="0" fontId="0" fillId="9" borderId="0" xfId="0" applyFill="1">
      <alignment vertical="center"/>
    </xf>
    <xf numFmtId="0" fontId="24" fillId="0" borderId="46" xfId="0" applyFont="1" applyBorder="1" applyAlignment="1">
      <alignment horizontal="right" vertical="center" wrapText="1"/>
    </xf>
    <xf numFmtId="0" fontId="24" fillId="0" borderId="17" xfId="0" applyFont="1" applyBorder="1" applyAlignment="1">
      <alignment vertical="center" wrapText="1"/>
    </xf>
    <xf numFmtId="38" fontId="25" fillId="0" borderId="17" xfId="4" applyFont="1" applyBorder="1" applyAlignment="1">
      <alignment vertical="center"/>
    </xf>
    <xf numFmtId="184" fontId="24" fillId="0" borderId="33" xfId="4" applyNumberFormat="1" applyFont="1" applyFill="1" applyBorder="1" applyAlignment="1">
      <alignment horizontal="right" vertical="center" wrapText="1"/>
    </xf>
    <xf numFmtId="182" fontId="24" fillId="6" borderId="111" xfId="0" applyNumberFormat="1" applyFont="1" applyFill="1" applyBorder="1" applyAlignment="1">
      <alignment horizontal="right" vertical="center" wrapText="1"/>
    </xf>
    <xf numFmtId="5" fontId="24" fillId="6" borderId="114" xfId="0" applyNumberFormat="1" applyFont="1" applyFill="1" applyBorder="1" applyAlignment="1">
      <alignment horizontal="right" vertical="center" wrapText="1"/>
    </xf>
    <xf numFmtId="5" fontId="24" fillId="6" borderId="9" xfId="0" applyNumberFormat="1" applyFont="1" applyFill="1" applyBorder="1" applyAlignment="1">
      <alignment horizontal="right" vertical="center" wrapText="1"/>
    </xf>
    <xf numFmtId="0" fontId="15" fillId="0" borderId="115" xfId="0" applyFont="1" applyBorder="1">
      <alignment vertical="center"/>
    </xf>
    <xf numFmtId="0" fontId="24" fillId="0" borderId="27" xfId="0" applyFont="1" applyBorder="1" applyAlignment="1">
      <alignment horizontal="right" vertical="center" wrapText="1"/>
    </xf>
    <xf numFmtId="0" fontId="24" fillId="0" borderId="42" xfId="0" applyFont="1" applyBorder="1" applyAlignment="1">
      <alignment vertical="center" wrapText="1"/>
    </xf>
    <xf numFmtId="40" fontId="25" fillId="0" borderId="42" xfId="4" applyNumberFormat="1" applyFont="1" applyBorder="1" applyAlignment="1">
      <alignment vertical="center"/>
    </xf>
    <xf numFmtId="184" fontId="24" fillId="0" borderId="49" xfId="4" applyNumberFormat="1" applyFont="1" applyFill="1" applyBorder="1" applyAlignment="1">
      <alignment horizontal="right" vertical="center" wrapText="1"/>
    </xf>
    <xf numFmtId="184" fontId="24" fillId="0" borderId="89" xfId="4" applyNumberFormat="1" applyFont="1" applyFill="1" applyBorder="1" applyAlignment="1">
      <alignment horizontal="right" vertical="center" wrapText="1"/>
    </xf>
    <xf numFmtId="183" fontId="24" fillId="0" borderId="60" xfId="0" applyNumberFormat="1" applyFont="1" applyBorder="1" applyAlignment="1">
      <alignment horizontal="right" vertical="center" wrapText="1"/>
    </xf>
    <xf numFmtId="5" fontId="24" fillId="0" borderId="50" xfId="0" applyNumberFormat="1" applyFont="1" applyBorder="1" applyAlignment="1">
      <alignment horizontal="right" vertical="center" wrapText="1"/>
    </xf>
    <xf numFmtId="5" fontId="24" fillId="0" borderId="116" xfId="0" applyNumberFormat="1" applyFont="1" applyBorder="1" applyAlignment="1">
      <alignment horizontal="right" vertical="center" wrapText="1"/>
    </xf>
    <xf numFmtId="0" fontId="15" fillId="0" borderId="28" xfId="0" applyFont="1" applyBorder="1">
      <alignment vertical="center"/>
    </xf>
    <xf numFmtId="38" fontId="25" fillId="0" borderId="33" xfId="4" applyFont="1" applyBorder="1" applyAlignment="1">
      <alignment vertical="center"/>
    </xf>
    <xf numFmtId="38" fontId="24" fillId="6" borderId="9" xfId="4" applyFont="1" applyFill="1" applyBorder="1" applyAlignment="1">
      <alignment horizontal="right" vertical="center" wrapText="1"/>
    </xf>
    <xf numFmtId="0" fontId="24" fillId="0" borderId="120" xfId="0" applyFont="1" applyBorder="1" applyAlignment="1">
      <alignment horizontal="center" vertical="center" wrapText="1"/>
    </xf>
    <xf numFmtId="183" fontId="24" fillId="0" borderId="34" xfId="0" applyNumberFormat="1" applyFont="1" applyBorder="1" applyAlignment="1">
      <alignment horizontal="right" vertical="center" wrapText="1"/>
    </xf>
    <xf numFmtId="5" fontId="24" fillId="0" borderId="17" xfId="0" applyNumberFormat="1" applyFont="1" applyBorder="1" applyAlignment="1">
      <alignment horizontal="right" vertical="center" wrapText="1"/>
    </xf>
    <xf numFmtId="0" fontId="24" fillId="0" borderId="121" xfId="0" applyFont="1" applyBorder="1" applyAlignment="1">
      <alignment horizontal="center" vertical="center" wrapText="1"/>
    </xf>
    <xf numFmtId="0" fontId="15" fillId="0" borderId="122" xfId="0" applyFont="1" applyBorder="1">
      <alignment vertical="center"/>
    </xf>
    <xf numFmtId="38" fontId="24" fillId="4" borderId="17" xfId="4" applyFont="1" applyFill="1" applyBorder="1" applyAlignment="1" applyProtection="1">
      <alignment horizontal="right" vertical="center" wrapText="1"/>
      <protection locked="0"/>
    </xf>
    <xf numFmtId="183" fontId="24" fillId="0" borderId="14" xfId="0" applyNumberFormat="1" applyFont="1" applyBorder="1" applyAlignment="1">
      <alignment horizontal="right" vertical="center" wrapText="1"/>
    </xf>
    <xf numFmtId="5" fontId="24" fillId="0" borderId="14" xfId="0" applyNumberFormat="1" applyFont="1" applyBorder="1" applyAlignment="1">
      <alignment horizontal="right" vertical="center" wrapText="1"/>
    </xf>
    <xf numFmtId="0" fontId="15" fillId="0" borderId="123" xfId="0" applyFont="1" applyBorder="1" applyAlignment="1">
      <alignment vertical="center" wrapText="1"/>
    </xf>
    <xf numFmtId="0" fontId="0" fillId="9" borderId="124" xfId="0" applyFill="1" applyBorder="1">
      <alignment vertical="center"/>
    </xf>
    <xf numFmtId="0" fontId="0" fillId="9" borderId="125" xfId="0" applyFill="1" applyBorder="1">
      <alignment vertical="center"/>
    </xf>
    <xf numFmtId="0" fontId="0" fillId="9" borderId="126" xfId="0" applyFill="1" applyBorder="1">
      <alignment vertical="center"/>
    </xf>
    <xf numFmtId="38" fontId="24" fillId="4" borderId="14" xfId="4" applyFont="1" applyFill="1" applyBorder="1" applyAlignment="1" applyProtection="1">
      <alignment horizontal="right" vertical="center" wrapText="1"/>
      <protection locked="0"/>
    </xf>
    <xf numFmtId="0" fontId="24" fillId="0" borderId="127" xfId="0" applyFont="1" applyBorder="1" applyAlignment="1">
      <alignment horizontal="center" vertical="center" wrapText="1"/>
    </xf>
    <xf numFmtId="0" fontId="0" fillId="9" borderId="128" xfId="0" applyFill="1" applyBorder="1">
      <alignment vertical="center"/>
    </xf>
    <xf numFmtId="0" fontId="0" fillId="9" borderId="129" xfId="0" applyFill="1" applyBorder="1">
      <alignment vertical="center"/>
    </xf>
    <xf numFmtId="0" fontId="24" fillId="0" borderId="41" xfId="0" applyFont="1" applyBorder="1" applyAlignment="1">
      <alignment horizontal="right" vertical="center" wrapText="1"/>
    </xf>
    <xf numFmtId="38" fontId="25" fillId="0" borderId="42" xfId="4" applyFont="1" applyBorder="1" applyAlignment="1">
      <alignment vertical="center"/>
    </xf>
    <xf numFmtId="0" fontId="24" fillId="0" borderId="130" xfId="0" applyFont="1" applyBorder="1" applyAlignment="1">
      <alignment horizontal="center" vertical="center" wrapText="1"/>
    </xf>
    <xf numFmtId="183" fontId="24" fillId="0" borderId="42" xfId="0" applyNumberFormat="1" applyFont="1" applyBorder="1" applyAlignment="1">
      <alignment horizontal="right" vertical="center" wrapText="1"/>
    </xf>
    <xf numFmtId="5" fontId="24" fillId="0" borderId="42" xfId="0" applyNumberFormat="1" applyFont="1" applyBorder="1" applyAlignment="1">
      <alignment horizontal="right" vertical="center" wrapText="1"/>
    </xf>
    <xf numFmtId="0" fontId="0" fillId="9" borderId="131" xfId="0" applyFill="1" applyBorder="1">
      <alignment vertical="center"/>
    </xf>
    <xf numFmtId="0" fontId="0" fillId="9" borderId="61" xfId="0" applyFill="1" applyBorder="1">
      <alignment vertical="center"/>
    </xf>
    <xf numFmtId="0" fontId="0" fillId="9" borderId="132" xfId="0" applyFill="1" applyBorder="1">
      <alignment vertical="center"/>
    </xf>
    <xf numFmtId="0" fontId="25" fillId="0" borderId="33" xfId="0" applyFont="1" applyBorder="1">
      <alignment vertical="center"/>
    </xf>
    <xf numFmtId="185" fontId="24" fillId="6" borderId="9" xfId="4" applyNumberFormat="1" applyFont="1" applyFill="1" applyBorder="1" applyAlignment="1">
      <alignment horizontal="right" vertical="center" wrapText="1"/>
    </xf>
    <xf numFmtId="0" fontId="24" fillId="0" borderId="133" xfId="0" applyFont="1" applyBorder="1" applyAlignment="1">
      <alignment horizontal="center" vertical="center" wrapText="1"/>
    </xf>
    <xf numFmtId="0" fontId="24" fillId="0" borderId="135" xfId="0" applyFont="1" applyBorder="1" applyAlignment="1">
      <alignment horizontal="right" vertical="center" wrapText="1"/>
    </xf>
    <xf numFmtId="38" fontId="24" fillId="4" borderId="47" xfId="4" applyFont="1" applyFill="1" applyBorder="1" applyAlignment="1" applyProtection="1">
      <alignment horizontal="right" vertical="center" wrapText="1"/>
      <protection locked="0"/>
    </xf>
    <xf numFmtId="0" fontId="24" fillId="0" borderId="20" xfId="0" applyFont="1" applyBorder="1" applyAlignment="1">
      <alignment horizontal="center" vertical="center" wrapText="1"/>
    </xf>
    <xf numFmtId="183" fontId="24" fillId="0" borderId="16" xfId="0" applyNumberFormat="1" applyFont="1" applyBorder="1" applyAlignment="1">
      <alignment horizontal="right" vertical="center" wrapText="1"/>
    </xf>
    <xf numFmtId="5" fontId="24" fillId="0" borderId="16" xfId="0" applyNumberFormat="1" applyFont="1" applyBorder="1" applyAlignment="1">
      <alignment horizontal="right" vertical="center" wrapText="1"/>
    </xf>
    <xf numFmtId="0" fontId="15" fillId="0" borderId="136" xfId="0" applyFont="1" applyBorder="1">
      <alignment vertical="center"/>
    </xf>
    <xf numFmtId="0" fontId="24" fillId="0" borderId="137" xfId="0" applyFont="1" applyBorder="1" applyAlignment="1">
      <alignment horizontal="center" vertical="center" wrapText="1"/>
    </xf>
    <xf numFmtId="0" fontId="15" fillId="0" borderId="28" xfId="0" applyFont="1" applyBorder="1" applyAlignment="1">
      <alignment vertical="center" wrapText="1"/>
    </xf>
    <xf numFmtId="0" fontId="36" fillId="0" borderId="47" xfId="0" applyFont="1" applyBorder="1" applyAlignment="1">
      <alignment horizontal="left" vertical="center"/>
    </xf>
    <xf numFmtId="0" fontId="56" fillId="0" borderId="0" xfId="0" applyFont="1">
      <alignment vertical="center"/>
    </xf>
    <xf numFmtId="0" fontId="16" fillId="0" borderId="0" xfId="0" applyFont="1" applyAlignment="1">
      <alignment vertical="top" wrapText="1"/>
    </xf>
    <xf numFmtId="0" fontId="12" fillId="0" borderId="0" xfId="0" applyFont="1" applyAlignment="1">
      <alignment horizontal="right"/>
    </xf>
    <xf numFmtId="0" fontId="9" fillId="0" borderId="0" xfId="0" applyFont="1" applyAlignment="1">
      <alignment horizontal="right"/>
    </xf>
    <xf numFmtId="0" fontId="4" fillId="0" borderId="64" xfId="0" applyFont="1" applyBorder="1">
      <alignment vertical="center"/>
    </xf>
    <xf numFmtId="0" fontId="4" fillId="0" borderId="138" xfId="0" applyFont="1" applyBorder="1">
      <alignment vertical="center"/>
    </xf>
    <xf numFmtId="0" fontId="4" fillId="0" borderId="10" xfId="0" applyFont="1" applyBorder="1">
      <alignment vertical="center"/>
    </xf>
    <xf numFmtId="0" fontId="4" fillId="0" borderId="139" xfId="0" applyFont="1" applyBorder="1">
      <alignment vertical="center"/>
    </xf>
    <xf numFmtId="0" fontId="4" fillId="0" borderId="11" xfId="0" applyFont="1" applyBorder="1">
      <alignment vertical="center"/>
    </xf>
    <xf numFmtId="0" fontId="35" fillId="0" borderId="139" xfId="0" applyFont="1" applyBorder="1">
      <alignment vertical="center"/>
    </xf>
    <xf numFmtId="0" fontId="5" fillId="0" borderId="23" xfId="0" applyFont="1" applyBorder="1" applyAlignment="1">
      <alignment vertical="top" wrapText="1"/>
    </xf>
    <xf numFmtId="38" fontId="57" fillId="4" borderId="14" xfId="4" applyFont="1" applyFill="1" applyBorder="1" applyAlignment="1" applyProtection="1">
      <alignment horizontal="right" vertical="center" wrapText="1"/>
      <protection locked="0"/>
    </xf>
    <xf numFmtId="0" fontId="0" fillId="3" borderId="29" xfId="0" applyFill="1" applyBorder="1">
      <alignment vertical="center"/>
    </xf>
    <xf numFmtId="38" fontId="6" fillId="4" borderId="9" xfId="4" applyFont="1" applyFill="1" applyBorder="1" applyAlignment="1" applyProtection="1">
      <alignment horizontal="center" vertical="center" wrapText="1"/>
      <protection locked="0"/>
    </xf>
    <xf numFmtId="0" fontId="24" fillId="3" borderId="0" xfId="0" applyFont="1" applyFill="1" applyAlignment="1">
      <alignment vertical="center" wrapText="1"/>
    </xf>
    <xf numFmtId="38" fontId="0" fillId="0" borderId="33" xfId="4" applyFont="1" applyFill="1" applyBorder="1">
      <alignment vertical="center"/>
    </xf>
    <xf numFmtId="3" fontId="0" fillId="0" borderId="18" xfId="0" applyNumberFormat="1" applyBorder="1">
      <alignment vertical="center"/>
    </xf>
    <xf numFmtId="38" fontId="24" fillId="4" borderId="140" xfId="4" applyFont="1" applyFill="1" applyBorder="1" applyAlignment="1" applyProtection="1">
      <alignment horizontal="right" vertical="center" wrapText="1"/>
      <protection locked="0"/>
    </xf>
    <xf numFmtId="0" fontId="24" fillId="4" borderId="140"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15" fillId="0" borderId="51" xfId="0" applyFont="1" applyBorder="1" applyAlignment="1">
      <alignment horizontal="center" vertical="center" wrapText="1"/>
    </xf>
    <xf numFmtId="38" fontId="24" fillId="0" borderId="34" xfId="4" applyFont="1" applyBorder="1" applyAlignment="1">
      <alignment horizontal="right" vertical="center" wrapText="1"/>
    </xf>
    <xf numFmtId="0" fontId="24" fillId="0" borderId="141" xfId="0" applyFont="1" applyBorder="1" applyAlignment="1">
      <alignment vertical="center" wrapText="1"/>
    </xf>
    <xf numFmtId="0" fontId="24" fillId="0" borderId="142" xfId="0" applyFont="1" applyBorder="1" applyAlignment="1">
      <alignment horizontal="right" vertical="center" wrapText="1"/>
    </xf>
    <xf numFmtId="38" fontId="24" fillId="4" borderId="90" xfId="4" applyFont="1" applyFill="1" applyBorder="1" applyAlignment="1" applyProtection="1">
      <alignment horizontal="right" vertical="center" wrapText="1"/>
      <protection locked="0"/>
    </xf>
    <xf numFmtId="38" fontId="24" fillId="4" borderId="90" xfId="4" applyFont="1" applyFill="1" applyBorder="1" applyAlignment="1" applyProtection="1">
      <alignment horizontal="center" vertical="center" wrapText="1"/>
      <protection locked="0"/>
    </xf>
    <xf numFmtId="38" fontId="24" fillId="0" borderId="90" xfId="4" applyFont="1" applyBorder="1" applyAlignment="1" applyProtection="1">
      <alignment horizontal="right" vertical="center" wrapText="1"/>
    </xf>
    <xf numFmtId="38" fontId="24" fillId="0" borderId="142" xfId="4" applyFont="1" applyBorder="1" applyAlignment="1" applyProtection="1">
      <alignment horizontal="right" vertical="center" wrapText="1"/>
    </xf>
    <xf numFmtId="0" fontId="15" fillId="0" borderId="144" xfId="0" applyFont="1" applyBorder="1" applyAlignment="1">
      <alignment horizontal="center" vertical="center" wrapText="1"/>
    </xf>
    <xf numFmtId="186" fontId="0" fillId="0" borderId="0" xfId="4" applyNumberFormat="1" applyFont="1">
      <alignment vertical="center"/>
    </xf>
    <xf numFmtId="0" fontId="24" fillId="0" borderId="145" xfId="0" applyFont="1" applyBorder="1" applyAlignment="1">
      <alignment vertical="center" wrapText="1"/>
    </xf>
    <xf numFmtId="0" fontId="24" fillId="0" borderId="146" xfId="0" applyFont="1" applyBorder="1" applyAlignment="1">
      <alignment horizontal="right" vertical="center" wrapText="1"/>
    </xf>
    <xf numFmtId="187" fontId="25" fillId="0" borderId="143" xfId="4" applyNumberFormat="1" applyFont="1" applyBorder="1" applyAlignment="1">
      <alignment horizontal="right" vertical="center"/>
    </xf>
    <xf numFmtId="38" fontId="24" fillId="4" borderId="143" xfId="4" applyFont="1" applyFill="1" applyBorder="1" applyAlignment="1" applyProtection="1">
      <alignment horizontal="right" vertical="center" wrapText="1"/>
      <protection locked="0"/>
    </xf>
    <xf numFmtId="38" fontId="24" fillId="4" borderId="143" xfId="4" applyFont="1" applyFill="1" applyBorder="1" applyAlignment="1" applyProtection="1">
      <alignment horizontal="center" vertical="center" wrapText="1"/>
      <protection locked="0"/>
    </xf>
    <xf numFmtId="187" fontId="24" fillId="3" borderId="72" xfId="4" applyNumberFormat="1" applyFont="1" applyFill="1" applyBorder="1" applyAlignment="1" applyProtection="1">
      <alignment horizontal="right" vertical="center" wrapText="1"/>
    </xf>
    <xf numFmtId="38" fontId="24" fillId="0" borderId="143" xfId="4" applyFont="1" applyBorder="1" applyAlignment="1" applyProtection="1">
      <alignment horizontal="right" vertical="center" wrapText="1"/>
    </xf>
    <xf numFmtId="38" fontId="24" fillId="0" borderId="146" xfId="4" applyFont="1" applyBorder="1" applyAlignment="1" applyProtection="1">
      <alignment horizontal="right" vertical="center" wrapText="1"/>
    </xf>
    <xf numFmtId="0" fontId="15" fillId="0" borderId="147" xfId="0" applyFont="1" applyBorder="1" applyAlignment="1">
      <alignment horizontal="center" vertical="center" wrapText="1"/>
    </xf>
    <xf numFmtId="187" fontId="25" fillId="0" borderId="0" xfId="4" applyNumberFormat="1" applyFont="1" applyBorder="1" applyAlignment="1">
      <alignment horizontal="right" vertical="center"/>
    </xf>
    <xf numFmtId="38" fontId="24" fillId="4" borderId="50" xfId="4" applyFont="1" applyFill="1" applyBorder="1" applyAlignment="1" applyProtection="1">
      <alignment horizontal="right" vertical="center" wrapText="1"/>
      <protection locked="0"/>
    </xf>
    <xf numFmtId="176" fontId="24" fillId="3" borderId="50" xfId="4" applyNumberFormat="1" applyFont="1" applyFill="1" applyBorder="1" applyAlignment="1" applyProtection="1">
      <alignment horizontal="right" vertical="center" wrapText="1"/>
    </xf>
    <xf numFmtId="38" fontId="24" fillId="0" borderId="50" xfId="4" applyFont="1" applyBorder="1" applyAlignment="1" applyProtection="1">
      <alignment horizontal="right" vertical="center" wrapText="1"/>
    </xf>
    <xf numFmtId="188" fontId="22" fillId="10" borderId="0" xfId="0" applyNumberFormat="1" applyFont="1" applyFill="1">
      <alignment vertical="center"/>
    </xf>
    <xf numFmtId="0" fontId="22" fillId="10" borderId="0" xfId="0" applyFont="1" applyFill="1">
      <alignment vertical="center"/>
    </xf>
    <xf numFmtId="38" fontId="22" fillId="10" borderId="0" xfId="4" applyFont="1" applyFill="1">
      <alignment vertical="center"/>
    </xf>
    <xf numFmtId="0" fontId="24" fillId="0" borderId="148" xfId="0" applyFont="1" applyBorder="1" applyAlignment="1">
      <alignment vertical="center" wrapText="1"/>
    </xf>
    <xf numFmtId="0" fontId="24" fillId="0" borderId="149" xfId="0" applyFont="1" applyBorder="1" applyAlignment="1">
      <alignment horizontal="right" vertical="center" wrapText="1"/>
    </xf>
    <xf numFmtId="38" fontId="24" fillId="4" borderId="72" xfId="4" applyFont="1" applyFill="1" applyBorder="1" applyAlignment="1" applyProtection="1">
      <alignment horizontal="right" vertical="center" wrapText="1"/>
      <protection locked="0"/>
    </xf>
    <xf numFmtId="38" fontId="24" fillId="4" borderId="72" xfId="4" applyFont="1" applyFill="1" applyBorder="1" applyAlignment="1" applyProtection="1">
      <alignment horizontal="center" vertical="center" wrapText="1"/>
      <protection locked="0"/>
    </xf>
    <xf numFmtId="189" fontId="24" fillId="3" borderId="72" xfId="4" applyNumberFormat="1" applyFont="1" applyFill="1" applyBorder="1" applyAlignment="1" applyProtection="1">
      <alignment horizontal="right" vertical="center" wrapText="1"/>
    </xf>
    <xf numFmtId="38" fontId="24" fillId="0" borderId="72" xfId="4" applyFont="1" applyBorder="1" applyAlignment="1" applyProtection="1">
      <alignment horizontal="right" vertical="center" wrapText="1"/>
    </xf>
    <xf numFmtId="38" fontId="24" fillId="0" borderId="149" xfId="4" applyFont="1" applyBorder="1" applyAlignment="1" applyProtection="1">
      <alignment horizontal="right" vertical="center" wrapText="1"/>
    </xf>
    <xf numFmtId="0" fontId="15" fillId="0" borderId="150" xfId="0" applyFont="1" applyBorder="1" applyAlignment="1">
      <alignment horizontal="center" vertical="center" wrapText="1"/>
    </xf>
    <xf numFmtId="189" fontId="22" fillId="10" borderId="0" xfId="0" applyNumberFormat="1" applyFont="1" applyFill="1">
      <alignment vertical="center"/>
    </xf>
    <xf numFmtId="38" fontId="24" fillId="0" borderId="72" xfId="4" applyFont="1" applyFill="1" applyBorder="1" applyAlignment="1" applyProtection="1">
      <alignment horizontal="right" vertical="center" wrapText="1"/>
    </xf>
    <xf numFmtId="38" fontId="24" fillId="0" borderId="149" xfId="4" applyFont="1" applyFill="1" applyBorder="1" applyAlignment="1" applyProtection="1">
      <alignment horizontal="right" vertical="center" wrapText="1"/>
    </xf>
    <xf numFmtId="190" fontId="22" fillId="10" borderId="0" xfId="0" applyNumberFormat="1" applyFont="1" applyFill="1">
      <alignment vertical="center"/>
    </xf>
    <xf numFmtId="176" fontId="22" fillId="10" borderId="0" xfId="0" applyNumberFormat="1" applyFont="1" applyFill="1" applyAlignment="1">
      <alignment horizontal="right" vertical="center"/>
    </xf>
    <xf numFmtId="38" fontId="23" fillId="0" borderId="14" xfId="4" applyFont="1" applyFill="1" applyBorder="1">
      <alignment vertical="center"/>
    </xf>
    <xf numFmtId="0" fontId="18" fillId="0" borderId="0" xfId="0" applyFont="1" applyAlignment="1" applyProtection="1">
      <alignment wrapText="1"/>
      <protection locked="0"/>
    </xf>
    <xf numFmtId="0" fontId="24" fillId="0" borderId="0" xfId="0" applyFont="1" applyAlignment="1"/>
    <xf numFmtId="0" fontId="58" fillId="0" borderId="0" xfId="0" applyFont="1" applyAlignment="1"/>
    <xf numFmtId="0" fontId="18" fillId="2" borderId="9" xfId="0" applyFont="1" applyFill="1" applyBorder="1" applyAlignment="1" applyProtection="1">
      <alignment wrapText="1"/>
      <protection locked="0"/>
    </xf>
    <xf numFmtId="38" fontId="16" fillId="0" borderId="151" xfId="4" applyFont="1" applyBorder="1" applyAlignment="1">
      <alignment vertical="top"/>
    </xf>
    <xf numFmtId="178" fontId="15" fillId="0" borderId="1" xfId="0" applyNumberFormat="1" applyFont="1" applyBorder="1" applyAlignment="1">
      <alignment vertical="center" wrapText="1"/>
    </xf>
    <xf numFmtId="0" fontId="5" fillId="2" borderId="43" xfId="0" applyFont="1" applyFill="1" applyBorder="1" applyAlignment="1" applyProtection="1">
      <alignment horizontal="right" vertical="center" wrapText="1"/>
      <protection locked="0"/>
    </xf>
    <xf numFmtId="0" fontId="5" fillId="0" borderId="27" xfId="0" applyFont="1" applyBorder="1" applyAlignment="1">
      <alignment vertical="center" wrapText="1"/>
    </xf>
    <xf numFmtId="0" fontId="5" fillId="2" borderId="49" xfId="0" applyFont="1" applyFill="1" applyBorder="1" applyAlignment="1" applyProtection="1">
      <alignment horizontal="right" vertical="center" wrapText="1"/>
      <protection locked="0"/>
    </xf>
    <xf numFmtId="0" fontId="4" fillId="2" borderId="152" xfId="0" applyFont="1" applyFill="1" applyBorder="1" applyAlignment="1" applyProtection="1">
      <alignment vertical="center" wrapText="1"/>
      <protection locked="0"/>
    </xf>
    <xf numFmtId="0" fontId="4" fillId="2" borderId="22" xfId="0" applyFont="1" applyFill="1" applyBorder="1" applyProtection="1">
      <alignment vertical="center"/>
      <protection locked="0"/>
    </xf>
    <xf numFmtId="0" fontId="4" fillId="2" borderId="24" xfId="0" applyFont="1" applyFill="1" applyBorder="1" applyProtection="1">
      <alignment vertical="center"/>
      <protection locked="0"/>
    </xf>
    <xf numFmtId="0" fontId="4" fillId="2" borderId="152" xfId="0" applyFont="1" applyFill="1" applyBorder="1" applyProtection="1">
      <alignment vertical="center"/>
      <protection locked="0"/>
    </xf>
    <xf numFmtId="0" fontId="5" fillId="0" borderId="153" xfId="0" applyFont="1" applyBorder="1" applyAlignment="1">
      <alignment vertical="center" wrapText="1"/>
    </xf>
    <xf numFmtId="0" fontId="5" fillId="0" borderId="46" xfId="0" applyFont="1" applyBorder="1" applyAlignment="1">
      <alignment vertical="center" wrapText="1"/>
    </xf>
    <xf numFmtId="0" fontId="5" fillId="2" borderId="33" xfId="0" applyFont="1" applyFill="1" applyBorder="1" applyAlignment="1" applyProtection="1">
      <alignment horizontal="right" vertical="center" wrapText="1"/>
      <protection locked="0"/>
    </xf>
    <xf numFmtId="0" fontId="4" fillId="2" borderId="154" xfId="0" applyFont="1" applyFill="1" applyBorder="1" applyAlignment="1" applyProtection="1">
      <alignment vertical="center" wrapText="1"/>
      <protection locked="0"/>
    </xf>
    <xf numFmtId="0" fontId="16" fillId="0" borderId="21" xfId="0" applyFont="1" applyBorder="1" applyAlignment="1">
      <alignment vertical="center" wrapText="1"/>
    </xf>
    <xf numFmtId="0" fontId="6" fillId="0" borderId="155" xfId="0" applyFont="1" applyBorder="1" applyAlignment="1">
      <alignment vertical="center" wrapText="1"/>
    </xf>
    <xf numFmtId="0" fontId="5" fillId="2" borderId="152" xfId="0" applyFont="1" applyFill="1" applyBorder="1" applyAlignment="1" applyProtection="1">
      <alignment vertical="center" wrapText="1"/>
      <protection locked="0"/>
    </xf>
    <xf numFmtId="0" fontId="5" fillId="0" borderId="0" xfId="0" applyFont="1" applyAlignment="1">
      <alignment vertical="center" wrapText="1"/>
    </xf>
    <xf numFmtId="0" fontId="5" fillId="0" borderId="156" xfId="0" applyFont="1" applyBorder="1" applyAlignment="1">
      <alignment vertical="center" wrapText="1"/>
    </xf>
    <xf numFmtId="0" fontId="5" fillId="2" borderId="157" xfId="0" applyFont="1" applyFill="1" applyBorder="1" applyAlignment="1" applyProtection="1">
      <alignment vertical="center" wrapText="1"/>
      <protection locked="0"/>
    </xf>
    <xf numFmtId="0" fontId="5" fillId="0" borderId="158" xfId="0" applyFont="1" applyBorder="1" applyAlignment="1">
      <alignment vertical="center" wrapText="1"/>
    </xf>
    <xf numFmtId="0" fontId="5" fillId="2" borderId="154" xfId="0" applyFont="1" applyFill="1" applyBorder="1" applyAlignment="1" applyProtection="1">
      <alignment vertical="center" wrapText="1"/>
      <protection locked="0"/>
    </xf>
    <xf numFmtId="0" fontId="5" fillId="2" borderId="24" xfId="0" applyFont="1" applyFill="1" applyBorder="1" applyAlignment="1" applyProtection="1">
      <alignment vertical="top" wrapText="1"/>
      <protection locked="0"/>
    </xf>
    <xf numFmtId="0" fontId="24" fillId="0" borderId="159" xfId="0" applyFont="1" applyBorder="1" applyAlignment="1">
      <alignment vertical="center" wrapText="1"/>
    </xf>
    <xf numFmtId="191" fontId="25" fillId="0" borderId="90" xfId="4" applyNumberFormat="1" applyFont="1" applyBorder="1" applyAlignment="1">
      <alignment horizontal="right" vertical="center"/>
    </xf>
    <xf numFmtId="191" fontId="24" fillId="3" borderId="143" xfId="4" applyNumberFormat="1" applyFont="1" applyFill="1" applyBorder="1" applyAlignment="1" applyProtection="1">
      <alignment horizontal="right" vertical="center" wrapText="1"/>
    </xf>
    <xf numFmtId="191" fontId="25" fillId="0" borderId="0" xfId="4" applyNumberFormat="1" applyFont="1" applyBorder="1" applyAlignment="1">
      <alignment horizontal="right" vertical="center"/>
    </xf>
    <xf numFmtId="192" fontId="35" fillId="0" borderId="44" xfId="0" applyNumberFormat="1" applyFont="1" applyBorder="1">
      <alignment vertical="center"/>
    </xf>
    <xf numFmtId="192" fontId="24" fillId="3" borderId="39" xfId="4" applyNumberFormat="1" applyFont="1" applyFill="1" applyBorder="1" applyAlignment="1" applyProtection="1">
      <alignment horizontal="right" vertical="center" wrapText="1"/>
    </xf>
    <xf numFmtId="189" fontId="35" fillId="0" borderId="72" xfId="0" applyNumberFormat="1" applyFont="1" applyBorder="1" applyAlignment="1">
      <alignment horizontal="right" vertical="center"/>
    </xf>
    <xf numFmtId="193" fontId="35" fillId="0" borderId="72" xfId="0" applyNumberFormat="1" applyFont="1" applyBorder="1">
      <alignment vertical="center"/>
    </xf>
    <xf numFmtId="193" fontId="24" fillId="0" borderId="72" xfId="4" applyNumberFormat="1" applyFont="1" applyFill="1" applyBorder="1" applyAlignment="1" applyProtection="1">
      <alignment horizontal="right" vertical="center" wrapText="1"/>
    </xf>
    <xf numFmtId="176" fontId="35" fillId="0" borderId="50" xfId="0" applyNumberFormat="1" applyFont="1" applyBorder="1" applyAlignment="1">
      <alignment horizontal="right" vertical="center"/>
    </xf>
    <xf numFmtId="0" fontId="59" fillId="0" borderId="0" xfId="0" applyFont="1">
      <alignment vertical="center"/>
    </xf>
    <xf numFmtId="0" fontId="60" fillId="0" borderId="0" xfId="0" applyFont="1">
      <alignment vertical="center"/>
    </xf>
    <xf numFmtId="0" fontId="61" fillId="0" borderId="0" xfId="0" applyFont="1">
      <alignment vertical="center"/>
    </xf>
    <xf numFmtId="0" fontId="62" fillId="0" borderId="16" xfId="0" applyFont="1" applyBorder="1">
      <alignment vertical="center"/>
    </xf>
    <xf numFmtId="0" fontId="62" fillId="0" borderId="14" xfId="0" applyFont="1" applyBorder="1">
      <alignment vertical="center"/>
    </xf>
    <xf numFmtId="0" fontId="63" fillId="0" borderId="14" xfId="0" applyFont="1" applyBorder="1">
      <alignment vertical="center"/>
    </xf>
    <xf numFmtId="0" fontId="64" fillId="0" borderId="14" xfId="0" applyFont="1" applyBorder="1">
      <alignment vertical="center"/>
    </xf>
    <xf numFmtId="38" fontId="61" fillId="0" borderId="15" xfId="4" applyFont="1" applyBorder="1">
      <alignment vertical="center"/>
    </xf>
    <xf numFmtId="0" fontId="65" fillId="0" borderId="14" xfId="0" applyFont="1" applyBorder="1">
      <alignment vertical="center"/>
    </xf>
    <xf numFmtId="0" fontId="66" fillId="0" borderId="0" xfId="3" applyFont="1" applyAlignment="1">
      <alignment horizontal="right" vertical="center"/>
    </xf>
    <xf numFmtId="0" fontId="67" fillId="0" borderId="14" xfId="0" applyFont="1" applyBorder="1">
      <alignment vertical="center"/>
    </xf>
    <xf numFmtId="38" fontId="66" fillId="0" borderId="15" xfId="4" applyFont="1" applyBorder="1">
      <alignment vertical="center"/>
    </xf>
    <xf numFmtId="0" fontId="68" fillId="0" borderId="0" xfId="0" applyFont="1">
      <alignment vertical="center"/>
    </xf>
    <xf numFmtId="0" fontId="69" fillId="0" borderId="0" xfId="0" applyFont="1">
      <alignment vertical="center"/>
    </xf>
    <xf numFmtId="38" fontId="61" fillId="0" borderId="14" xfId="4" applyFont="1" applyBorder="1">
      <alignment vertical="center"/>
    </xf>
    <xf numFmtId="0" fontId="70" fillId="0" borderId="14" xfId="0" applyFont="1" applyBorder="1" applyAlignment="1"/>
    <xf numFmtId="0" fontId="71" fillId="0" borderId="14" xfId="0" applyFont="1" applyBorder="1">
      <alignment vertical="center"/>
    </xf>
    <xf numFmtId="38" fontId="72" fillId="0" borderId="14" xfId="4" applyFont="1" applyBorder="1">
      <alignment vertical="center"/>
    </xf>
    <xf numFmtId="0" fontId="70" fillId="0" borderId="0" xfId="0" applyFont="1">
      <alignment vertical="center"/>
    </xf>
    <xf numFmtId="38" fontId="73" fillId="0" borderId="0" xfId="4" applyFont="1">
      <alignment vertical="center"/>
    </xf>
    <xf numFmtId="0" fontId="61" fillId="0" borderId="14" xfId="0" applyFont="1" applyBorder="1">
      <alignment vertical="center"/>
    </xf>
    <xf numFmtId="0" fontId="74" fillId="0" borderId="14" xfId="0" applyFont="1" applyBorder="1">
      <alignment vertical="center"/>
    </xf>
    <xf numFmtId="0" fontId="75" fillId="0" borderId="0" xfId="0" applyFont="1" applyAlignment="1">
      <alignment wrapText="1"/>
    </xf>
    <xf numFmtId="0" fontId="71" fillId="4" borderId="0" xfId="0" applyFont="1" applyFill="1">
      <alignment vertical="center"/>
    </xf>
    <xf numFmtId="0" fontId="70" fillId="4" borderId="0" xfId="0" applyFont="1" applyFill="1">
      <alignment vertical="center"/>
    </xf>
    <xf numFmtId="0" fontId="63" fillId="0" borderId="0" xfId="0" applyFont="1">
      <alignment vertical="center"/>
    </xf>
    <xf numFmtId="0" fontId="63" fillId="0" borderId="35" xfId="0" applyFont="1" applyBorder="1" applyAlignment="1">
      <alignment vertical="top" wrapText="1"/>
    </xf>
    <xf numFmtId="0" fontId="63" fillId="0" borderId="1" xfId="0" applyFont="1" applyBorder="1" applyAlignment="1">
      <alignment vertical="top" wrapText="1"/>
    </xf>
    <xf numFmtId="0" fontId="76" fillId="0" borderId="1" xfId="0" applyFont="1" applyBorder="1" applyAlignment="1">
      <alignment vertical="top" wrapText="1"/>
    </xf>
    <xf numFmtId="0" fontId="76" fillId="0" borderId="36" xfId="0" applyFont="1" applyBorder="1" applyAlignment="1">
      <alignment vertical="top" wrapText="1"/>
    </xf>
    <xf numFmtId="0" fontId="63" fillId="0" borderId="15" xfId="0" applyFont="1" applyBorder="1" applyAlignment="1">
      <alignment vertical="top" wrapText="1"/>
    </xf>
    <xf numFmtId="0" fontId="71" fillId="0" borderId="14" xfId="0" applyFont="1" applyBorder="1" applyAlignment="1">
      <alignment wrapText="1"/>
    </xf>
    <xf numFmtId="0" fontId="63" fillId="0" borderId="19" xfId="0" applyFont="1" applyBorder="1" applyAlignment="1">
      <alignment wrapText="1"/>
    </xf>
    <xf numFmtId="0" fontId="70" fillId="0" borderId="19" xfId="0" applyFont="1" applyBorder="1">
      <alignment vertical="center"/>
    </xf>
    <xf numFmtId="0" fontId="70" fillId="0" borderId="19" xfId="0" applyFont="1" applyBorder="1" applyAlignment="1">
      <alignment wrapText="1"/>
    </xf>
    <xf numFmtId="0" fontId="70" fillId="0" borderId="1" xfId="0" applyFont="1" applyBorder="1" applyAlignment="1">
      <alignment vertical="center" wrapText="1"/>
    </xf>
    <xf numFmtId="0" fontId="70" fillId="0" borderId="16" xfId="0" applyFont="1" applyBorder="1" applyAlignment="1">
      <alignment vertical="center" wrapText="1"/>
    </xf>
    <xf numFmtId="0" fontId="70" fillId="0" borderId="15" xfId="0" applyFont="1" applyBorder="1" applyAlignment="1">
      <alignment wrapText="1"/>
    </xf>
    <xf numFmtId="0" fontId="63" fillId="0" borderId="17" xfId="0" applyFont="1" applyBorder="1" applyAlignment="1">
      <alignment wrapText="1"/>
    </xf>
    <xf numFmtId="38" fontId="70" fillId="4" borderId="17" xfId="4" applyFont="1" applyFill="1" applyBorder="1" applyAlignment="1" applyProtection="1">
      <alignment horizontal="right" wrapText="1"/>
      <protection locked="0"/>
    </xf>
    <xf numFmtId="0" fontId="70" fillId="4" borderId="1" xfId="0" applyFont="1" applyFill="1" applyBorder="1" applyAlignment="1" applyProtection="1">
      <alignment horizontal="center" vertical="center" wrapText="1"/>
      <protection locked="0"/>
    </xf>
    <xf numFmtId="38" fontId="70" fillId="0" borderId="17" xfId="4" applyFont="1" applyBorder="1" applyAlignment="1">
      <alignment horizontal="right" wrapText="1"/>
    </xf>
    <xf numFmtId="38" fontId="70" fillId="0" borderId="1" xfId="4" applyFont="1" applyBorder="1" applyAlignment="1" applyProtection="1">
      <alignment horizontal="right" vertical="center" wrapText="1"/>
    </xf>
    <xf numFmtId="0" fontId="77" fillId="0" borderId="14" xfId="0" applyFont="1" applyBorder="1">
      <alignment vertical="center"/>
    </xf>
    <xf numFmtId="38" fontId="70" fillId="0" borderId="0" xfId="4" applyFont="1" applyFill="1">
      <alignment vertical="center"/>
    </xf>
    <xf numFmtId="0" fontId="63" fillId="0" borderId="14" xfId="0" applyFont="1" applyBorder="1" applyAlignment="1">
      <alignment wrapText="1"/>
    </xf>
    <xf numFmtId="38" fontId="70" fillId="0" borderId="14" xfId="4" applyFont="1" applyBorder="1" applyAlignment="1">
      <alignment horizontal="right" wrapText="1"/>
    </xf>
    <xf numFmtId="38" fontId="70" fillId="0" borderId="34" xfId="4" applyFont="1" applyBorder="1" applyAlignment="1">
      <alignment horizontal="right" wrapText="1"/>
    </xf>
    <xf numFmtId="38" fontId="70" fillId="0" borderId="15" xfId="4" applyFont="1" applyBorder="1" applyAlignment="1">
      <alignment horizontal="right" wrapText="1"/>
    </xf>
    <xf numFmtId="38" fontId="70" fillId="5" borderId="19" xfId="4" applyFont="1" applyFill="1" applyBorder="1" applyAlignment="1">
      <alignment horizontal="right" wrapText="1"/>
    </xf>
    <xf numFmtId="38" fontId="70" fillId="0" borderId="19" xfId="4" applyFont="1" applyBorder="1" applyAlignment="1">
      <alignment horizontal="right" wrapText="1"/>
    </xf>
    <xf numFmtId="0" fontId="63" fillId="0" borderId="37" xfId="0" applyFont="1" applyBorder="1" applyAlignment="1">
      <alignment wrapText="1"/>
    </xf>
    <xf numFmtId="38" fontId="70" fillId="0" borderId="0" xfId="4" applyFont="1">
      <alignment vertical="center"/>
    </xf>
    <xf numFmtId="0" fontId="76" fillId="0" borderId="14" xfId="0" applyFont="1" applyBorder="1" applyAlignment="1">
      <alignment wrapText="1"/>
    </xf>
    <xf numFmtId="0" fontId="76" fillId="0" borderId="17" xfId="0" applyFont="1" applyBorder="1" applyAlignment="1">
      <alignment wrapText="1"/>
    </xf>
    <xf numFmtId="38" fontId="70" fillId="0" borderId="86" xfId="4" applyFont="1" applyFill="1" applyBorder="1" applyAlignment="1" applyProtection="1">
      <alignment horizontal="center" vertical="center" wrapText="1"/>
    </xf>
    <xf numFmtId="38" fontId="70" fillId="0" borderId="17" xfId="4" applyFont="1" applyBorder="1" applyAlignment="1" applyProtection="1">
      <alignment wrapText="1"/>
    </xf>
    <xf numFmtId="0" fontId="77" fillId="0" borderId="1" xfId="0" applyFont="1" applyBorder="1" applyAlignment="1">
      <alignment wrapText="1"/>
    </xf>
    <xf numFmtId="0" fontId="70" fillId="0" borderId="17" xfId="0" applyFont="1" applyBorder="1">
      <alignment vertical="center"/>
    </xf>
    <xf numFmtId="0" fontId="77" fillId="0" borderId="30" xfId="0" applyFont="1" applyBorder="1">
      <alignment vertical="center"/>
    </xf>
    <xf numFmtId="38" fontId="70" fillId="0" borderId="0" xfId="4" applyFont="1" applyAlignment="1">
      <alignment wrapText="1"/>
    </xf>
    <xf numFmtId="0" fontId="75" fillId="0" borderId="0" xfId="0" applyFont="1">
      <alignment vertical="center"/>
    </xf>
    <xf numFmtId="38" fontId="66" fillId="0" borderId="17" xfId="4" applyFont="1" applyBorder="1">
      <alignment vertical="center"/>
    </xf>
    <xf numFmtId="3" fontId="66" fillId="0" borderId="14" xfId="0" applyNumberFormat="1" applyFont="1" applyBorder="1">
      <alignment vertical="center"/>
    </xf>
    <xf numFmtId="0" fontId="66" fillId="0" borderId="14" xfId="0" applyFont="1" applyBorder="1">
      <alignment vertical="center"/>
    </xf>
    <xf numFmtId="0" fontId="80" fillId="0" borderId="18" xfId="0" applyFont="1" applyBorder="1" applyAlignment="1">
      <alignment wrapText="1"/>
    </xf>
    <xf numFmtId="0" fontId="76" fillId="0" borderId="19" xfId="0" applyFont="1" applyBorder="1" applyAlignment="1">
      <alignment wrapText="1"/>
    </xf>
    <xf numFmtId="0" fontId="66" fillId="0" borderId="19" xfId="0" applyFont="1" applyBorder="1">
      <alignment vertical="center"/>
    </xf>
    <xf numFmtId="0" fontId="66" fillId="0" borderId="17" xfId="0" applyFont="1" applyBorder="1">
      <alignment vertical="center"/>
    </xf>
    <xf numFmtId="0" fontId="82" fillId="0" borderId="14" xfId="0" applyFont="1" applyBorder="1">
      <alignment vertical="center"/>
    </xf>
    <xf numFmtId="38" fontId="35" fillId="0" borderId="15" xfId="4" applyFont="1" applyBorder="1">
      <alignment vertical="center"/>
    </xf>
    <xf numFmtId="0" fontId="6" fillId="0" borderId="14" xfId="0" applyFont="1" applyBorder="1">
      <alignment vertical="center"/>
    </xf>
    <xf numFmtId="0" fontId="6" fillId="0" borderId="1" xfId="0" applyFont="1" applyBorder="1" applyAlignment="1">
      <alignment vertical="center" wrapText="1"/>
    </xf>
    <xf numFmtId="0" fontId="6" fillId="0" borderId="36" xfId="0" applyFont="1" applyBorder="1" applyAlignment="1">
      <alignment vertical="center" wrapText="1"/>
    </xf>
    <xf numFmtId="0" fontId="6" fillId="0" borderId="36" xfId="0" applyFont="1" applyBorder="1" applyAlignment="1">
      <alignment vertical="top" wrapText="1"/>
    </xf>
    <xf numFmtId="0" fontId="6" fillId="6" borderId="65" xfId="0" applyFont="1" applyFill="1" applyBorder="1" applyAlignment="1">
      <alignment horizontal="center" wrapText="1"/>
    </xf>
    <xf numFmtId="183" fontId="6" fillId="6" borderId="44" xfId="0" applyNumberFormat="1" applyFont="1" applyFill="1" applyBorder="1" applyAlignment="1">
      <alignment horizontal="left" vertical="center" wrapText="1"/>
    </xf>
    <xf numFmtId="5" fontId="6" fillId="6" borderId="44" xfId="0" applyNumberFormat="1" applyFont="1" applyFill="1" applyBorder="1" applyAlignment="1">
      <alignment horizontal="left" vertical="center" wrapText="1"/>
    </xf>
    <xf numFmtId="0" fontId="6" fillId="6" borderId="36" xfId="0" applyFont="1" applyFill="1" applyBorder="1" applyAlignment="1">
      <alignment vertical="center" wrapText="1"/>
    </xf>
    <xf numFmtId="182" fontId="35" fillId="0" borderId="15" xfId="4" applyNumberFormat="1" applyFont="1" applyBorder="1">
      <alignment vertical="center"/>
    </xf>
    <xf numFmtId="0" fontId="6" fillId="0" borderId="1" xfId="0" applyFont="1" applyBorder="1" applyAlignment="1">
      <alignment horizontal="center" vertical="center" wrapText="1"/>
    </xf>
    <xf numFmtId="0" fontId="6" fillId="0" borderId="1" xfId="0" applyFont="1" applyBorder="1" applyAlignment="1">
      <alignment horizontal="center" wrapText="1"/>
    </xf>
    <xf numFmtId="38" fontId="35" fillId="0" borderId="15" xfId="4" applyFont="1" applyBorder="1" applyProtection="1">
      <alignment vertical="center"/>
    </xf>
    <xf numFmtId="0" fontId="6" fillId="6" borderId="65" xfId="0" applyFont="1" applyFill="1" applyBorder="1" applyAlignment="1">
      <alignment horizontal="center" vertical="center" wrapText="1"/>
    </xf>
    <xf numFmtId="0" fontId="6" fillId="6" borderId="36" xfId="0" applyFont="1" applyFill="1" applyBorder="1" applyAlignment="1">
      <alignment horizontal="center" vertical="center" wrapText="1"/>
    </xf>
    <xf numFmtId="0" fontId="6" fillId="0" borderId="65" xfId="0" applyFont="1" applyBorder="1" applyAlignment="1">
      <alignment horizontal="center" vertical="center" wrapText="1"/>
    </xf>
    <xf numFmtId="0" fontId="6" fillId="0" borderId="1" xfId="0" applyFont="1" applyBorder="1" applyAlignment="1">
      <alignment vertical="top" wrapText="1"/>
    </xf>
    <xf numFmtId="0" fontId="6" fillId="0" borderId="36" xfId="0" applyFont="1" applyBorder="1" applyAlignment="1">
      <alignment horizontal="center" vertical="center" wrapText="1"/>
    </xf>
    <xf numFmtId="0" fontId="83" fillId="0" borderId="14" xfId="0" applyFont="1" applyBorder="1">
      <alignment vertical="center"/>
    </xf>
    <xf numFmtId="0" fontId="6" fillId="0" borderId="14" xfId="0" applyFont="1" applyBorder="1" applyAlignment="1">
      <alignment wrapText="1"/>
    </xf>
    <xf numFmtId="0" fontId="6" fillId="0" borderId="81" xfId="0" applyFont="1" applyBorder="1" applyAlignment="1">
      <alignment wrapText="1"/>
    </xf>
    <xf numFmtId="0" fontId="24" fillId="0" borderId="31" xfId="0" applyFont="1" applyBorder="1" applyAlignment="1">
      <alignment vertical="center" wrapText="1"/>
    </xf>
    <xf numFmtId="178" fontId="24" fillId="4" borderId="31" xfId="0" applyNumberFormat="1" applyFont="1" applyFill="1" applyBorder="1" applyAlignment="1" applyProtection="1">
      <alignment vertical="center" wrapText="1"/>
      <protection locked="0"/>
    </xf>
    <xf numFmtId="0" fontId="24" fillId="4" borderId="31" xfId="0" applyFont="1" applyFill="1" applyBorder="1" applyAlignment="1" applyProtection="1">
      <alignment horizontal="center" vertical="center" wrapText="1"/>
      <protection locked="0"/>
    </xf>
    <xf numFmtId="38" fontId="24" fillId="0" borderId="36" xfId="4" applyFont="1" applyBorder="1" applyAlignment="1">
      <alignment horizontal="right" wrapText="1"/>
    </xf>
    <xf numFmtId="178" fontId="24" fillId="4" borderId="63" xfId="0" applyNumberFormat="1" applyFont="1" applyFill="1" applyBorder="1" applyAlignment="1" applyProtection="1">
      <alignment vertical="center" wrapText="1"/>
      <protection locked="0"/>
    </xf>
    <xf numFmtId="38" fontId="24" fillId="0" borderId="162" xfId="4" applyFont="1" applyBorder="1" applyAlignment="1">
      <alignment horizontal="right" wrapText="1"/>
    </xf>
    <xf numFmtId="0" fontId="36" fillId="0" borderId="163" xfId="0" applyFont="1" applyBorder="1" applyAlignment="1">
      <alignment vertical="center" wrapText="1"/>
    </xf>
    <xf numFmtId="0" fontId="24" fillId="0" borderId="103" xfId="0" applyFont="1" applyBorder="1" applyAlignment="1">
      <alignment vertical="center" wrapText="1"/>
    </xf>
    <xf numFmtId="38" fontId="24" fillId="0" borderId="32" xfId="4" applyFont="1" applyBorder="1" applyAlignment="1">
      <alignment horizontal="right" wrapText="1"/>
    </xf>
    <xf numFmtId="0" fontId="24" fillId="0" borderId="104" xfId="0" applyFont="1" applyBorder="1" applyAlignment="1">
      <alignment vertical="center" wrapText="1"/>
    </xf>
    <xf numFmtId="0" fontId="6" fillId="0" borderId="38" xfId="0" applyFont="1" applyBorder="1" applyAlignment="1">
      <alignment vertical="center" wrapText="1"/>
    </xf>
    <xf numFmtId="0" fontId="6" fillId="0" borderId="106" xfId="0" applyFont="1" applyBorder="1" applyAlignment="1">
      <alignment vertical="center" wrapText="1"/>
    </xf>
    <xf numFmtId="0" fontId="92" fillId="6" borderId="64" xfId="0" applyFont="1" applyFill="1" applyBorder="1" applyAlignment="1">
      <alignment wrapText="1"/>
    </xf>
    <xf numFmtId="0" fontId="6" fillId="6" borderId="5" xfId="0" applyFont="1" applyFill="1" applyBorder="1" applyAlignment="1">
      <alignment horizontal="center" wrapText="1"/>
    </xf>
    <xf numFmtId="0" fontId="93" fillId="0" borderId="0" xfId="0" applyFont="1" applyAlignment="1">
      <alignment wrapText="1"/>
    </xf>
    <xf numFmtId="0" fontId="11" fillId="0" borderId="1" xfId="0" applyFont="1" applyBorder="1" applyAlignment="1">
      <alignment horizontal="center" wrapText="1"/>
    </xf>
    <xf numFmtId="0" fontId="12" fillId="0" borderId="1" xfId="0" applyFont="1" applyBorder="1" applyAlignment="1">
      <alignment horizontal="center" vertical="center"/>
    </xf>
    <xf numFmtId="0" fontId="12" fillId="0" borderId="30" xfId="0" applyFont="1" applyBorder="1" applyAlignment="1">
      <alignment horizontal="center" vertical="center"/>
    </xf>
    <xf numFmtId="0" fontId="35" fillId="0" borderId="1" xfId="0" applyFont="1" applyBorder="1">
      <alignment vertical="center"/>
    </xf>
    <xf numFmtId="0" fontId="6" fillId="0" borderId="66" xfId="0" applyFont="1" applyBorder="1" applyAlignment="1">
      <alignment wrapText="1"/>
    </xf>
    <xf numFmtId="0" fontId="6" fillId="0" borderId="17" xfId="0" applyFont="1" applyBorder="1" applyAlignment="1">
      <alignment wrapText="1"/>
    </xf>
    <xf numFmtId="38" fontId="35" fillId="0" borderId="17" xfId="4" applyFont="1" applyFill="1" applyBorder="1">
      <alignment vertical="center"/>
    </xf>
    <xf numFmtId="40" fontId="6" fillId="4" borderId="33" xfId="4" applyNumberFormat="1" applyFont="1" applyFill="1" applyBorder="1" applyAlignment="1" applyProtection="1">
      <alignment horizontal="right" wrapText="1"/>
      <protection locked="0"/>
    </xf>
    <xf numFmtId="0" fontId="6" fillId="4" borderId="1" xfId="0" applyFont="1" applyFill="1" applyBorder="1" applyAlignment="1" applyProtection="1">
      <alignment horizontal="center" vertical="center" wrapText="1"/>
      <protection locked="0"/>
    </xf>
    <xf numFmtId="38" fontId="35" fillId="0" borderId="35" xfId="4" applyFont="1" applyBorder="1">
      <alignment vertical="center"/>
    </xf>
    <xf numFmtId="0" fontId="6" fillId="0" borderId="16" xfId="0" applyFont="1" applyBorder="1" applyAlignment="1">
      <alignment vertical="center" wrapText="1"/>
    </xf>
    <xf numFmtId="0" fontId="6" fillId="0" borderId="67" xfId="0" applyFont="1" applyBorder="1">
      <alignment vertical="center"/>
    </xf>
    <xf numFmtId="0" fontId="35" fillId="0" borderId="30" xfId="0" applyFont="1" applyBorder="1">
      <alignment vertical="center"/>
    </xf>
    <xf numFmtId="0" fontId="6" fillId="0" borderId="73" xfId="0" applyFont="1" applyBorder="1" applyAlignment="1">
      <alignment wrapText="1"/>
    </xf>
    <xf numFmtId="40" fontId="6" fillId="4" borderId="81" xfId="4" applyNumberFormat="1" applyFont="1" applyFill="1" applyBorder="1" applyAlignment="1" applyProtection="1">
      <alignment horizontal="right" wrapText="1"/>
      <protection locked="0"/>
    </xf>
    <xf numFmtId="0" fontId="6" fillId="4" borderId="89" xfId="0" applyFont="1" applyFill="1" applyBorder="1" applyAlignment="1" applyProtection="1">
      <alignment horizontal="center" vertical="center" wrapText="1"/>
      <protection locked="0"/>
    </xf>
    <xf numFmtId="38" fontId="4" fillId="0" borderId="89" xfId="4" applyFont="1" applyBorder="1">
      <alignment vertical="center"/>
    </xf>
    <xf numFmtId="38" fontId="4" fillId="0" borderId="89" xfId="4" applyFont="1" applyBorder="1" applyProtection="1">
      <alignment vertical="center"/>
    </xf>
    <xf numFmtId="0" fontId="6" fillId="0" borderId="78" xfId="0" applyFont="1" applyBorder="1">
      <alignment vertical="center"/>
    </xf>
    <xf numFmtId="0" fontId="6" fillId="7" borderId="1" xfId="0" applyFont="1" applyFill="1" applyBorder="1" applyAlignment="1">
      <alignment wrapText="1"/>
    </xf>
    <xf numFmtId="0" fontId="35" fillId="7" borderId="30" xfId="0" applyFont="1" applyFill="1" applyBorder="1">
      <alignment vertical="center"/>
    </xf>
    <xf numFmtId="0" fontId="15" fillId="0" borderId="164" xfId="0" applyFont="1" applyBorder="1">
      <alignment vertical="center"/>
    </xf>
    <xf numFmtId="38" fontId="25" fillId="0" borderId="165" xfId="4" applyFont="1" applyBorder="1">
      <alignment vertical="center"/>
    </xf>
    <xf numFmtId="38" fontId="24" fillId="0" borderId="1" xfId="4" applyFont="1" applyBorder="1" applyAlignment="1" applyProtection="1">
      <alignment horizontal="right" wrapText="1"/>
    </xf>
    <xf numFmtId="0" fontId="24" fillId="0" borderId="134" xfId="0" applyFont="1" applyBorder="1" applyAlignment="1">
      <alignment horizontal="center" vertical="center" wrapText="1"/>
    </xf>
    <xf numFmtId="0" fontId="24" fillId="0" borderId="88" xfId="0" applyFont="1" applyBorder="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right" vertical="top"/>
    </xf>
    <xf numFmtId="0" fontId="11" fillId="0" borderId="105" xfId="0" applyFont="1" applyBorder="1" applyAlignment="1">
      <alignment horizontal="right" vertical="top"/>
    </xf>
    <xf numFmtId="177" fontId="25" fillId="0" borderId="44" xfId="0" applyNumberFormat="1" applyFont="1" applyBorder="1">
      <alignment vertical="center"/>
    </xf>
    <xf numFmtId="177" fontId="25" fillId="0" borderId="47" xfId="0" applyNumberFormat="1" applyFont="1" applyBorder="1">
      <alignment vertical="center"/>
    </xf>
    <xf numFmtId="177" fontId="25" fillId="0" borderId="50" xfId="0" applyNumberFormat="1" applyFont="1" applyBorder="1">
      <alignment vertical="center"/>
    </xf>
    <xf numFmtId="177" fontId="24" fillId="3" borderId="44" xfId="4" applyNumberFormat="1" applyFont="1" applyFill="1" applyBorder="1" applyAlignment="1" applyProtection="1">
      <alignment vertical="center" wrapText="1"/>
    </xf>
    <xf numFmtId="177" fontId="24" fillId="3" borderId="62" xfId="4" applyNumberFormat="1" applyFont="1" applyFill="1" applyBorder="1" applyAlignment="1" applyProtection="1">
      <alignment vertical="center" wrapText="1"/>
    </xf>
    <xf numFmtId="177" fontId="24" fillId="3" borderId="50" xfId="4" applyNumberFormat="1" applyFont="1" applyFill="1" applyBorder="1" applyAlignment="1" applyProtection="1">
      <alignment vertical="center" wrapText="1"/>
    </xf>
    <xf numFmtId="0" fontId="15" fillId="0" borderId="45" xfId="0" applyFont="1" applyBorder="1" applyAlignment="1">
      <alignment horizontal="center" vertical="center" wrapText="1"/>
    </xf>
    <xf numFmtId="0" fontId="15" fillId="0" borderId="48" xfId="0" applyFont="1" applyBorder="1" applyAlignment="1">
      <alignment horizontal="center" vertical="center" wrapText="1"/>
    </xf>
    <xf numFmtId="0" fontId="15" fillId="0" borderId="51" xfId="0" applyFont="1" applyBorder="1" applyAlignment="1">
      <alignment horizontal="center" vertical="center" wrapText="1"/>
    </xf>
    <xf numFmtId="194" fontId="25" fillId="0" borderId="0" xfId="0" applyNumberFormat="1" applyFont="1">
      <alignment vertical="center"/>
    </xf>
    <xf numFmtId="0" fontId="24" fillId="0" borderId="108" xfId="0" applyFont="1" applyBorder="1" applyAlignment="1">
      <alignment horizontal="left" vertical="center" wrapText="1"/>
    </xf>
    <xf numFmtId="0" fontId="24" fillId="0" borderId="109" xfId="0" applyFont="1" applyBorder="1" applyAlignment="1">
      <alignment horizontal="left" vertical="center" wrapText="1"/>
    </xf>
    <xf numFmtId="0" fontId="24" fillId="0" borderId="110" xfId="0" applyFont="1" applyBorder="1" applyAlignment="1">
      <alignment horizontal="left" vertical="center" wrapText="1"/>
    </xf>
    <xf numFmtId="0" fontId="24" fillId="6" borderId="117" xfId="0" applyFont="1" applyFill="1" applyBorder="1" applyAlignment="1">
      <alignment horizontal="left" vertical="center" wrapText="1"/>
    </xf>
    <xf numFmtId="0" fontId="24" fillId="6" borderId="118" xfId="0" applyFont="1" applyFill="1" applyBorder="1" applyAlignment="1">
      <alignment horizontal="left" vertical="center" wrapText="1"/>
    </xf>
    <xf numFmtId="0" fontId="24" fillId="6" borderId="109" xfId="0" applyFont="1" applyFill="1" applyBorder="1" applyAlignment="1">
      <alignment horizontal="left" vertical="center" wrapText="1"/>
    </xf>
    <xf numFmtId="0" fontId="24" fillId="6" borderId="0" xfId="0" applyFont="1" applyFill="1" applyAlignment="1">
      <alignment horizontal="left" vertical="center" wrapText="1"/>
    </xf>
    <xf numFmtId="0" fontId="24" fillId="6" borderId="119" xfId="0" applyFont="1" applyFill="1" applyBorder="1" applyAlignment="1">
      <alignment horizontal="left" vertical="center" wrapText="1"/>
    </xf>
    <xf numFmtId="0" fontId="76" fillId="0" borderId="16" xfId="0" applyFont="1" applyBorder="1" applyAlignment="1">
      <alignment vertical="center" wrapText="1"/>
    </xf>
    <xf numFmtId="0" fontId="76" fillId="0" borderId="17" xfId="0" applyFont="1" applyBorder="1" applyAlignment="1">
      <alignment vertical="center" wrapText="1"/>
    </xf>
    <xf numFmtId="38" fontId="70" fillId="0" borderId="160" xfId="4" applyFont="1" applyBorder="1" applyAlignment="1" applyProtection="1">
      <alignment horizontal="right" wrapText="1"/>
    </xf>
    <xf numFmtId="38" fontId="70" fillId="0" borderId="161" xfId="4" applyFont="1" applyBorder="1" applyAlignment="1" applyProtection="1">
      <alignment horizontal="right" wrapText="1"/>
    </xf>
  </cellXfs>
  <cellStyles count="6">
    <cellStyle name="パーセント" xfId="5" builtinId="5"/>
    <cellStyle name="桁区切り" xfId="4" builtinId="6"/>
    <cellStyle name="標準" xfId="0" builtinId="0"/>
    <cellStyle name="標準 2" xfId="1" xr:uid="{00000000-0005-0000-0000-000003000000}"/>
    <cellStyle name="標準 2 2" xfId="3" xr:uid="{00000000-0005-0000-0000-000004000000}"/>
    <cellStyle name="標準 3" xfId="2" xr:uid="{00000000-0005-0000-0000-000005000000}"/>
  </cellStyles>
  <dxfs count="25">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33CCFF"/>
      <color rgb="FFFFFF99"/>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xdr:col>
      <xdr:colOff>732235</xdr:colOff>
      <xdr:row>7</xdr:row>
      <xdr:rowOff>851297</xdr:rowOff>
    </xdr:from>
    <xdr:to>
      <xdr:col>2</xdr:col>
      <xdr:colOff>2952753</xdr:colOff>
      <xdr:row>10</xdr:row>
      <xdr:rowOff>853677</xdr:rowOff>
    </xdr:to>
    <xdr:sp macro="" textlink="">
      <xdr:nvSpPr>
        <xdr:cNvPr id="4" name="テキスト ボックス 2">
          <a:extLst>
            <a:ext uri="{FF2B5EF4-FFF2-40B4-BE49-F238E27FC236}">
              <a16:creationId xmlns:a16="http://schemas.microsoft.com/office/drawing/2014/main" id="{6E154761-26E8-4A75-971B-6C6C122C15F4}"/>
            </a:ext>
          </a:extLst>
        </xdr:cNvPr>
        <xdr:cNvSpPr txBox="1"/>
      </xdr:nvSpPr>
      <xdr:spPr>
        <a:xfrm>
          <a:off x="3923110" y="3494485"/>
          <a:ext cx="5161362" cy="2806302"/>
        </a:xfrm>
        <a:prstGeom prst="rect">
          <a:avLst/>
        </a:prstGeom>
        <a:noFill/>
        <a:ln w="88900" cmpd="sng">
          <a:solidFill>
            <a:srgbClr val="0070C0">
              <a:alpha val="20000"/>
            </a:srgb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8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rPr>
            <a:t>SAMPLE</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rPr>
            <a:t>(Japanese)</a:t>
          </a:r>
          <a:endParaRPr kumimoji="1" lang="ja-JP" altLang="en-US" sz="60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506016</xdr:colOff>
      <xdr:row>7</xdr:row>
      <xdr:rowOff>577453</xdr:rowOff>
    </xdr:from>
    <xdr:to>
      <xdr:col>2</xdr:col>
      <xdr:colOff>2720077</xdr:colOff>
      <xdr:row>10</xdr:row>
      <xdr:rowOff>581879</xdr:rowOff>
    </xdr:to>
    <xdr:sp macro="" textlink="">
      <xdr:nvSpPr>
        <xdr:cNvPr id="2" name="テキスト ボックス 1">
          <a:extLst>
            <a:ext uri="{FF2B5EF4-FFF2-40B4-BE49-F238E27FC236}">
              <a16:creationId xmlns:a16="http://schemas.microsoft.com/office/drawing/2014/main" id="{26F3A989-EB5C-4F07-A950-CAA842C55AB5}"/>
            </a:ext>
          </a:extLst>
        </xdr:cNvPr>
        <xdr:cNvSpPr txBox="1"/>
      </xdr:nvSpPr>
      <xdr:spPr>
        <a:xfrm>
          <a:off x="3696891" y="3220641"/>
          <a:ext cx="5154905" cy="2808348"/>
        </a:xfrm>
        <a:prstGeom prst="rect">
          <a:avLst/>
        </a:prstGeom>
        <a:noFill/>
        <a:ln w="88900" cmpd="sng">
          <a:solidFill>
            <a:srgbClr val="0070C0">
              <a:alpha val="20000"/>
            </a:srgb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8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rPr>
            <a:t>SAMPLE</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rPr>
            <a:t>(English)</a:t>
          </a:r>
          <a:endParaRPr kumimoji="1" lang="ja-JP" altLang="en-US" sz="60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6</xdr:row>
      <xdr:rowOff>0</xdr:rowOff>
    </xdr:from>
    <xdr:to>
      <xdr:col>7</xdr:col>
      <xdr:colOff>922233</xdr:colOff>
      <xdr:row>18</xdr:row>
      <xdr:rowOff>111583</xdr:rowOff>
    </xdr:to>
    <xdr:sp macro="" textlink="">
      <xdr:nvSpPr>
        <xdr:cNvPr id="2" name="テキスト ボックス 1">
          <a:extLst>
            <a:ext uri="{FF2B5EF4-FFF2-40B4-BE49-F238E27FC236}">
              <a16:creationId xmlns:a16="http://schemas.microsoft.com/office/drawing/2014/main" id="{1CAC406C-8A75-4088-A4C6-67B98E611E0C}"/>
            </a:ext>
          </a:extLst>
        </xdr:cNvPr>
        <xdr:cNvSpPr txBox="1"/>
      </xdr:nvSpPr>
      <xdr:spPr>
        <a:xfrm>
          <a:off x="2981325" y="2357438"/>
          <a:ext cx="5151333" cy="2783345"/>
        </a:xfrm>
        <a:prstGeom prst="rect">
          <a:avLst/>
        </a:prstGeom>
        <a:noFill/>
        <a:ln w="88900" cmpd="sng">
          <a:solidFill>
            <a:srgbClr val="0070C0">
              <a:alpha val="20000"/>
            </a:srgb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8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rPr>
            <a:t>SAMPLE</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rPr>
            <a:t>(Japanese)</a:t>
          </a:r>
          <a:endParaRPr kumimoji="1" lang="ja-JP" altLang="en-US" sz="60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6</xdr:row>
      <xdr:rowOff>0</xdr:rowOff>
    </xdr:from>
    <xdr:to>
      <xdr:col>7</xdr:col>
      <xdr:colOff>922233</xdr:colOff>
      <xdr:row>18</xdr:row>
      <xdr:rowOff>111583</xdr:rowOff>
    </xdr:to>
    <xdr:sp macro="" textlink="">
      <xdr:nvSpPr>
        <xdr:cNvPr id="2" name="テキスト ボックス 1">
          <a:extLst>
            <a:ext uri="{FF2B5EF4-FFF2-40B4-BE49-F238E27FC236}">
              <a16:creationId xmlns:a16="http://schemas.microsoft.com/office/drawing/2014/main" id="{5032A1F9-CA35-418A-B8C6-D398A4EF0750}"/>
            </a:ext>
          </a:extLst>
        </xdr:cNvPr>
        <xdr:cNvSpPr txBox="1"/>
      </xdr:nvSpPr>
      <xdr:spPr>
        <a:xfrm>
          <a:off x="2981325" y="2357438"/>
          <a:ext cx="5151333" cy="2783345"/>
        </a:xfrm>
        <a:prstGeom prst="rect">
          <a:avLst/>
        </a:prstGeom>
        <a:noFill/>
        <a:ln w="88900" cmpd="sng">
          <a:solidFill>
            <a:srgbClr val="0070C0">
              <a:alpha val="20000"/>
            </a:srgb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8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rPr>
            <a:t>SAMPLE</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rPr>
            <a:t>(English)</a:t>
          </a:r>
          <a:endParaRPr kumimoji="1" lang="ja-JP" altLang="en-US" sz="6000" b="0" i="0" u="none" strike="noStrike" kern="0" cap="none" spc="0" normalizeH="0" baseline="0" noProof="0">
            <a:ln>
              <a:noFill/>
            </a:ln>
            <a:solidFill>
              <a:srgbClr val="0070C0">
                <a:alpha val="20000"/>
              </a:srgbClr>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8"/>
  <sheetViews>
    <sheetView workbookViewId="0"/>
  </sheetViews>
  <sheetFormatPr defaultColWidth="8.625" defaultRowHeight="17.649999999999999"/>
  <cols>
    <col min="1" max="30" width="3.125" customWidth="1"/>
  </cols>
  <sheetData>
    <row r="1" spans="1:3">
      <c r="A1">
        <v>1</v>
      </c>
      <c r="B1" t="s">
        <v>0</v>
      </c>
    </row>
    <row r="2" spans="1:3">
      <c r="B2" t="s">
        <v>1</v>
      </c>
    </row>
    <row r="3" spans="1:3">
      <c r="C3" t="s">
        <v>2</v>
      </c>
    </row>
    <row r="4" spans="1:3">
      <c r="C4" t="s">
        <v>3</v>
      </c>
    </row>
    <row r="5" spans="1:3">
      <c r="B5" t="s">
        <v>4</v>
      </c>
    </row>
    <row r="6" spans="1:3">
      <c r="C6" t="s">
        <v>5</v>
      </c>
    </row>
    <row r="7" spans="1:3">
      <c r="C7" t="s">
        <v>6</v>
      </c>
    </row>
    <row r="9" spans="1:3">
      <c r="A9">
        <v>2</v>
      </c>
      <c r="B9" t="s">
        <v>7</v>
      </c>
    </row>
    <row r="10" spans="1:3">
      <c r="B10" t="s">
        <v>8</v>
      </c>
    </row>
    <row r="11" spans="1:3">
      <c r="B11" t="s">
        <v>9</v>
      </c>
    </row>
    <row r="12" spans="1:3">
      <c r="C12" t="s">
        <v>10</v>
      </c>
    </row>
    <row r="13" spans="1:3">
      <c r="B13" t="s">
        <v>11</v>
      </c>
    </row>
    <row r="14" spans="1:3">
      <c r="C14" t="s">
        <v>12</v>
      </c>
    </row>
    <row r="15" spans="1:3">
      <c r="B15" t="s">
        <v>13</v>
      </c>
    </row>
    <row r="17" spans="1:3">
      <c r="A17">
        <v>3</v>
      </c>
      <c r="B17" t="s">
        <v>14</v>
      </c>
    </row>
    <row r="18" spans="1:3">
      <c r="B18" t="s">
        <v>15</v>
      </c>
    </row>
    <row r="19" spans="1:3">
      <c r="B19" t="s">
        <v>16</v>
      </c>
    </row>
    <row r="21" spans="1:3">
      <c r="A21">
        <v>4</v>
      </c>
      <c r="B21" t="s">
        <v>17</v>
      </c>
    </row>
    <row r="22" spans="1:3">
      <c r="B22" t="s">
        <v>18</v>
      </c>
    </row>
    <row r="23" spans="1:3">
      <c r="B23" t="s">
        <v>19</v>
      </c>
    </row>
    <row r="25" spans="1:3">
      <c r="A25">
        <v>5</v>
      </c>
      <c r="B25" t="s">
        <v>20</v>
      </c>
    </row>
    <row r="26" spans="1:3">
      <c r="B26" t="s">
        <v>21</v>
      </c>
    </row>
    <row r="27" spans="1:3">
      <c r="C27" t="s">
        <v>22</v>
      </c>
    </row>
    <row r="29" spans="1:3">
      <c r="A29">
        <v>6</v>
      </c>
      <c r="B29" t="s">
        <v>23</v>
      </c>
    </row>
    <row r="30" spans="1:3">
      <c r="B30" t="s">
        <v>24</v>
      </c>
    </row>
    <row r="31" spans="1:3">
      <c r="B31" t="s">
        <v>25</v>
      </c>
    </row>
    <row r="33" spans="1:2">
      <c r="A33">
        <v>7</v>
      </c>
      <c r="B33" t="s">
        <v>26</v>
      </c>
    </row>
    <row r="35" spans="1:2">
      <c r="A35">
        <v>8</v>
      </c>
      <c r="B35" t="s">
        <v>27</v>
      </c>
    </row>
    <row r="36" spans="1:2">
      <c r="B36" t="s">
        <v>28</v>
      </c>
    </row>
    <row r="37" spans="1:2">
      <c r="B37" t="s">
        <v>29</v>
      </c>
    </row>
    <row r="38" spans="1:2">
      <c r="B38" t="s">
        <v>30</v>
      </c>
    </row>
  </sheetData>
  <phoneticPr fontId="1"/>
  <pageMargins left="0.7" right="0.7" top="0.75" bottom="0.75" header="0.3" footer="0.3"/>
  <pageSetup paperSize="9" orientation="portrait" horizont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E81C0-736E-4BB8-953C-B8D57FE716B0}">
  <sheetPr>
    <pageSetUpPr fitToPage="1"/>
  </sheetPr>
  <dimension ref="A1:K26"/>
  <sheetViews>
    <sheetView zoomScale="80" zoomScaleNormal="80" workbookViewId="0">
      <selection activeCell="D15" sqref="D15"/>
    </sheetView>
  </sheetViews>
  <sheetFormatPr defaultColWidth="8.75" defaultRowHeight="25.9"/>
  <cols>
    <col min="1" max="1" width="55.25" style="534" customWidth="1"/>
    <col min="2" max="2" width="35.75" style="534" customWidth="1"/>
    <col min="3" max="3" width="22.5" style="534" customWidth="1"/>
    <col min="4" max="4" width="15.25" style="534" customWidth="1"/>
    <col min="5" max="5" width="18.75" style="534" customWidth="1"/>
    <col min="6" max="6" width="20.5" style="534" customWidth="1"/>
    <col min="7" max="7" width="31.75" style="534" customWidth="1"/>
    <col min="8" max="8" width="17" style="534" customWidth="1"/>
    <col min="9" max="11" width="17" style="534" hidden="1" customWidth="1"/>
    <col min="12" max="12" width="9.25" style="534" customWidth="1"/>
    <col min="13" max="16384" width="8.75" style="534"/>
  </cols>
  <sheetData>
    <row r="1" spans="1:10">
      <c r="A1" s="532" t="s">
        <v>978</v>
      </c>
      <c r="B1" s="533"/>
      <c r="C1" s="533"/>
      <c r="D1" s="439" t="s">
        <v>36</v>
      </c>
      <c r="E1" s="533"/>
      <c r="G1" s="533"/>
      <c r="H1" s="533"/>
      <c r="I1" s="533"/>
      <c r="J1" s="533"/>
    </row>
    <row r="2" spans="1:10">
      <c r="A2" s="532"/>
      <c r="B2" s="533"/>
      <c r="C2" s="533"/>
      <c r="D2" s="533"/>
      <c r="E2" s="533"/>
      <c r="F2" s="533"/>
      <c r="G2" s="533"/>
      <c r="H2" s="533"/>
      <c r="I2" s="533"/>
      <c r="J2" s="533"/>
    </row>
    <row r="3" spans="1:10">
      <c r="A3" s="532" t="s">
        <v>859</v>
      </c>
      <c r="B3" s="533"/>
      <c r="C3" s="533"/>
      <c r="D3" s="533"/>
      <c r="E3" s="533"/>
      <c r="F3" s="533"/>
      <c r="G3" s="533"/>
      <c r="H3" s="533"/>
      <c r="I3" s="533"/>
      <c r="J3" s="533"/>
    </row>
    <row r="4" spans="1:10">
      <c r="A4" s="535"/>
      <c r="B4" s="536" t="s">
        <v>919</v>
      </c>
      <c r="C4" s="537" t="s">
        <v>861</v>
      </c>
    </row>
    <row r="5" spans="1:10">
      <c r="A5" s="538" t="s">
        <v>862</v>
      </c>
      <c r="B5" s="539">
        <f>ROUNDUP(SUM(F15:F17),0)</f>
        <v>0</v>
      </c>
      <c r="C5" s="540"/>
      <c r="J5" s="541"/>
    </row>
    <row r="6" spans="1:10">
      <c r="A6" s="542" t="s">
        <v>920</v>
      </c>
      <c r="B6" s="543">
        <f>ROUNDUP(SUM(G15:G17),0)</f>
        <v>0</v>
      </c>
      <c r="C6" s="540"/>
      <c r="D6" s="544" t="s">
        <v>864</v>
      </c>
      <c r="E6" s="545"/>
      <c r="J6" s="541"/>
    </row>
    <row r="7" spans="1:10">
      <c r="A7" s="538" t="s">
        <v>865</v>
      </c>
      <c r="B7" s="546">
        <f>ROUNDUP(SUM(F18:F21),0)</f>
        <v>0</v>
      </c>
      <c r="C7" s="547"/>
      <c r="I7" s="42" t="s">
        <v>921</v>
      </c>
    </row>
    <row r="8" spans="1:10">
      <c r="A8" s="548" t="s">
        <v>867</v>
      </c>
      <c r="B8" s="549">
        <f>B5+B7</f>
        <v>0</v>
      </c>
      <c r="C8" s="540" t="str">
        <f>IF(B8&gt;$J$8,TEXT($J$8,"#,###")&amp;"円を超過しています/Excessing "&amp;TEXT($J$8,"#,###")&amp;"JPY","")</f>
        <v/>
      </c>
      <c r="H8" s="532" t="str">
        <f>"※1拠点あたりの利用資源料上限額は "&amp;TEXT($J$8,"#,###")&amp;"円"</f>
        <v>※1拠点あたりの利用資源料上限額は 3,000,000円</v>
      </c>
      <c r="I8" s="550"/>
      <c r="J8" s="551">
        <v>3000000</v>
      </c>
    </row>
    <row r="9" spans="1:10">
      <c r="A9" s="537" t="s">
        <v>868</v>
      </c>
      <c r="B9" s="552"/>
      <c r="C9" s="553" t="str">
        <f>IF((COUNTBLANK(C8)+COUNTBLANK(H15:H21))&lt;(1+ROWS(H15:H21)),"資源超過などが発生しています/Problems are present","")</f>
        <v/>
      </c>
      <c r="H9" s="532" t="str">
        <f>"Note: Maximum resource fee per one center is "&amp;TEXT(J8,"#,###")&amp;"JPY"</f>
        <v>Note: Maximum resource fee per one center is 3,000,000JPY</v>
      </c>
    </row>
    <row r="10" spans="1:10">
      <c r="A10" s="554"/>
      <c r="B10" s="554"/>
      <c r="C10" s="554"/>
      <c r="D10" s="554"/>
      <c r="E10" s="554"/>
      <c r="F10" s="554"/>
      <c r="G10" s="554"/>
      <c r="H10" s="554"/>
      <c r="I10" s="554"/>
      <c r="J10" s="554"/>
    </row>
    <row r="11" spans="1:10">
      <c r="A11" s="532" t="s">
        <v>922</v>
      </c>
      <c r="B11" s="550"/>
      <c r="C11" s="550"/>
      <c r="D11" s="555" t="s">
        <v>870</v>
      </c>
      <c r="E11" s="555"/>
      <c r="F11" s="556"/>
      <c r="G11" s="556"/>
      <c r="H11" s="550"/>
      <c r="I11" s="550"/>
      <c r="J11" s="550"/>
    </row>
    <row r="12" spans="1:10">
      <c r="A12" s="533"/>
      <c r="B12" s="550"/>
      <c r="C12" s="550"/>
      <c r="D12" s="557"/>
      <c r="E12" s="555" t="s">
        <v>871</v>
      </c>
      <c r="F12" s="556"/>
      <c r="G12" s="556"/>
      <c r="H12" s="550"/>
      <c r="I12" s="550"/>
      <c r="J12" s="550"/>
    </row>
    <row r="13" spans="1:10" ht="70.349999999999994" customHeight="1">
      <c r="A13" s="558" t="s">
        <v>872</v>
      </c>
      <c r="B13" s="559" t="s">
        <v>873</v>
      </c>
      <c r="C13" s="559" t="s">
        <v>923</v>
      </c>
      <c r="D13" s="559" t="s">
        <v>924</v>
      </c>
      <c r="E13" s="560" t="s">
        <v>876</v>
      </c>
      <c r="F13" s="559" t="s">
        <v>878</v>
      </c>
      <c r="G13" s="561" t="s">
        <v>879</v>
      </c>
      <c r="H13" s="562" t="s">
        <v>861</v>
      </c>
      <c r="I13" s="550"/>
      <c r="J13" s="550" t="s">
        <v>880</v>
      </c>
    </row>
    <row r="14" spans="1:10" ht="46.5">
      <c r="A14" s="563" t="s">
        <v>979</v>
      </c>
      <c r="B14" s="564"/>
      <c r="C14" s="565"/>
      <c r="D14" s="566"/>
      <c r="E14" s="567"/>
      <c r="F14" s="566"/>
      <c r="G14" s="568"/>
      <c r="H14" s="569"/>
      <c r="I14" s="550"/>
      <c r="J14" s="550"/>
    </row>
    <row r="15" spans="1:10">
      <c r="A15" s="586" t="s">
        <v>980</v>
      </c>
      <c r="B15" s="586" t="s">
        <v>926</v>
      </c>
      <c r="C15" s="594">
        <v>24590</v>
      </c>
      <c r="D15" s="571"/>
      <c r="E15" s="572" t="s">
        <v>884</v>
      </c>
      <c r="F15" s="573">
        <f>D15*J15</f>
        <v>0</v>
      </c>
      <c r="G15" s="574">
        <f>IF(E15="○",F15,0)</f>
        <v>0</v>
      </c>
      <c r="H15" s="575" t="str">
        <f>IF(D15&gt;C15,"利用資源が超過しています","")</f>
        <v/>
      </c>
      <c r="I15" s="550"/>
      <c r="J15" s="576">
        <v>122</v>
      </c>
    </row>
    <row r="16" spans="1:10" ht="45.4">
      <c r="A16" s="585" t="s">
        <v>981</v>
      </c>
      <c r="B16" s="585" t="s">
        <v>931</v>
      </c>
      <c r="C16" s="595">
        <v>9490</v>
      </c>
      <c r="D16" s="571"/>
      <c r="E16" s="572" t="s">
        <v>884</v>
      </c>
      <c r="F16" s="578">
        <f t="shared" ref="F16:F17" si="0">D16*J16</f>
        <v>0</v>
      </c>
      <c r="G16" s="579">
        <f t="shared" ref="G16" si="1">IF(E16="○",F16,0)</f>
        <v>0</v>
      </c>
      <c r="H16" s="575" t="str">
        <f>IF(D16&gt;C16,"利用資源が超過しています","")</f>
        <v/>
      </c>
      <c r="I16" s="550"/>
      <c r="J16" s="576">
        <v>316</v>
      </c>
    </row>
    <row r="17" spans="1:10">
      <c r="A17" s="585" t="s">
        <v>982</v>
      </c>
      <c r="B17" s="585" t="s">
        <v>983</v>
      </c>
      <c r="C17" s="596">
        <v>600</v>
      </c>
      <c r="D17" s="571"/>
      <c r="E17" s="572" t="s">
        <v>884</v>
      </c>
      <c r="F17" s="578">
        <f t="shared" si="0"/>
        <v>0</v>
      </c>
      <c r="G17" s="580">
        <f>IF(E17="○",F17,0)</f>
        <v>0</v>
      </c>
      <c r="H17" s="575" t="str">
        <f>IF(D17&gt;C17,"利用資源が超過しています","")</f>
        <v/>
      </c>
      <c r="I17" s="550"/>
      <c r="J17" s="576">
        <v>3500</v>
      </c>
    </row>
    <row r="18" spans="1:10" ht="80.650000000000006" customHeight="1">
      <c r="A18" s="685" t="s">
        <v>984</v>
      </c>
      <c r="B18" s="586" t="s">
        <v>985</v>
      </c>
      <c r="C18" s="600">
        <v>2</v>
      </c>
      <c r="D18" s="571"/>
      <c r="E18" s="587" t="s">
        <v>884</v>
      </c>
      <c r="F18" s="687">
        <f>D18*J18*D19</f>
        <v>0</v>
      </c>
      <c r="G18" s="587" t="s">
        <v>884</v>
      </c>
      <c r="H18" s="589" t="str">
        <f>IF(D18&gt;C18,"Desired resource exceeds the limit","")</f>
        <v/>
      </c>
      <c r="I18" s="550"/>
      <c r="J18" s="584">
        <v>330000</v>
      </c>
    </row>
    <row r="19" spans="1:10" ht="80.650000000000006" customHeight="1">
      <c r="A19" s="686"/>
      <c r="B19" s="586" t="s">
        <v>986</v>
      </c>
      <c r="C19" s="600">
        <v>12</v>
      </c>
      <c r="D19" s="571"/>
      <c r="E19" s="587"/>
      <c r="F19" s="688"/>
      <c r="G19" s="587"/>
      <c r="H19" s="589" t="str">
        <f>IF(D19&gt;C19,"Desired resource exceeds the limit","")</f>
        <v/>
      </c>
      <c r="I19" s="550"/>
      <c r="J19" s="584"/>
    </row>
    <row r="20" spans="1:10" ht="46.5">
      <c r="A20" s="597" t="s">
        <v>987</v>
      </c>
      <c r="B20" s="598"/>
      <c r="C20" s="599"/>
      <c r="D20" s="581"/>
      <c r="E20" s="581"/>
      <c r="F20" s="582"/>
      <c r="G20" s="582"/>
      <c r="H20" s="583"/>
      <c r="I20" s="550"/>
      <c r="J20" s="584"/>
    </row>
    <row r="21" spans="1:10">
      <c r="A21" s="577" t="s">
        <v>988</v>
      </c>
      <c r="B21" s="570" t="s">
        <v>989</v>
      </c>
      <c r="C21" s="590">
        <v>1</v>
      </c>
      <c r="D21" s="571"/>
      <c r="E21" s="587" t="s">
        <v>884</v>
      </c>
      <c r="F21" s="588">
        <f>D21*J21</f>
        <v>0</v>
      </c>
      <c r="G21" s="587" t="s">
        <v>884</v>
      </c>
      <c r="H21" s="591" t="str">
        <f>IF(D21&gt;C21,"Desired resource exceeds the limit","")</f>
        <v/>
      </c>
      <c r="I21" s="554"/>
      <c r="J21" s="592">
        <f>2*10000</f>
        <v>20000</v>
      </c>
    </row>
    <row r="22" spans="1:10">
      <c r="A22" s="554"/>
      <c r="B22" s="554"/>
      <c r="C22" s="554"/>
      <c r="D22" s="554"/>
      <c r="E22" s="554"/>
      <c r="F22" s="554"/>
      <c r="G22" s="554"/>
      <c r="H22" s="554"/>
      <c r="I22" s="554"/>
      <c r="J22" s="554"/>
    </row>
    <row r="23" spans="1:10">
      <c r="A23" s="554"/>
      <c r="B23" s="554"/>
      <c r="C23" s="554"/>
      <c r="D23" s="554"/>
      <c r="E23" s="554"/>
      <c r="F23" s="554"/>
      <c r="G23" s="554"/>
      <c r="H23" s="554"/>
      <c r="I23" s="554"/>
      <c r="J23" s="554"/>
    </row>
    <row r="24" spans="1:10">
      <c r="A24" s="593"/>
      <c r="B24" s="554"/>
      <c r="C24" s="554"/>
      <c r="D24" s="554"/>
      <c r="E24" s="554"/>
      <c r="F24" s="554"/>
      <c r="G24" s="554"/>
      <c r="H24" s="554"/>
      <c r="I24" s="554"/>
      <c r="J24" s="554"/>
    </row>
    <row r="25" spans="1:10">
      <c r="A25" s="554"/>
      <c r="B25" s="554"/>
      <c r="C25" s="554"/>
      <c r="D25" s="554"/>
      <c r="E25" s="554"/>
      <c r="F25" s="554"/>
      <c r="G25" s="554"/>
      <c r="H25" s="554"/>
      <c r="I25" s="554"/>
      <c r="J25" s="554"/>
    </row>
    <row r="26" spans="1:10">
      <c r="A26" s="554"/>
      <c r="B26" s="554"/>
      <c r="C26" s="554"/>
      <c r="D26" s="554"/>
      <c r="E26" s="554"/>
      <c r="F26" s="554"/>
      <c r="G26" s="554"/>
      <c r="H26" s="554"/>
      <c r="I26" s="554"/>
      <c r="J26" s="554"/>
    </row>
  </sheetData>
  <sheetProtection algorithmName="SHA-512" hashValue="3WOM9GNiCxEds3TkgMt4IbMsZ9N4pb6O7XSo64oP/sEN9lLO6sbc3hyESHxpOis4kGM0Vt7DmkuWZ4QRTHFXiA==" saltValue="7BGBbocTEwJY2Oz/d+zDHQ==" spinCount="100000" sheet="1" objects="1" scenarios="1"/>
  <mergeCells count="2">
    <mergeCell ref="A18:A19"/>
    <mergeCell ref="F18:F19"/>
  </mergeCells>
  <phoneticPr fontId="1"/>
  <conditionalFormatting sqref="B8">
    <cfRule type="expression" dxfId="9" priority="2">
      <formula>B8&gt;#REF!</formula>
    </cfRule>
  </conditionalFormatting>
  <conditionalFormatting sqref="D15:D19 D21">
    <cfRule type="expression" dxfId="8" priority="1">
      <formula>D15&gt;C15</formula>
    </cfRule>
  </conditionalFormatting>
  <dataValidations count="5">
    <dataValidation operator="greaterThanOrEqual" allowBlank="1" showInputMessage="1" showErrorMessage="1" sqref="D20" xr:uid="{59131162-E8A0-4A42-B124-CF5EC2509138}"/>
    <dataValidation type="whole" operator="greaterThanOrEqual" allowBlank="1" showInputMessage="1" showErrorMessage="1" sqref="D15:D17 D21" xr:uid="{FF86CF12-4A9A-466E-89AB-26E325974477}">
      <formula1>0</formula1>
    </dataValidation>
    <dataValidation type="list" showInputMessage="1" showErrorMessage="1" sqref="E15:E17" xr:uid="{2D66050D-F3BC-49C7-B62B-0B6163F9FE07}">
      <formula1>"○,　,"</formula1>
    </dataValidation>
    <dataValidation errorStyle="warning" allowBlank="1" showInputMessage="1" errorTitle="tesuto " error="びいくりびいくり" promptTitle="ご注意" prompt="利用月が未入力の場合は入力してください" sqref="D18" xr:uid="{6D6889AF-55B7-4801-8B1F-E2D6AAE6D085}"/>
    <dataValidation type="whole" operator="greaterThanOrEqual" allowBlank="1" showInputMessage="1" showErrorMessage="1" promptTitle="ご注意" prompt="台数が未入力の場合は入力ください。" sqref="D19:D20" xr:uid="{CC8D0696-5395-4CDF-A19A-37F1E4BB9A70}">
      <formula1>0</formula1>
    </dataValidation>
  </dataValidations>
  <pageMargins left="0.7" right="0.7" top="0.75" bottom="0.75" header="0.3" footer="0.3"/>
  <pageSetup paperSize="9" scale="4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D3B77-6E6D-4255-8B67-4F301BB0414D}">
  <dimension ref="A1:P51"/>
  <sheetViews>
    <sheetView zoomScale="80" zoomScaleNormal="80" workbookViewId="0">
      <selection activeCell="D11" sqref="D11"/>
    </sheetView>
  </sheetViews>
  <sheetFormatPr defaultColWidth="8.625" defaultRowHeight="17.649999999999999"/>
  <cols>
    <col min="1" max="1" width="53.5" customWidth="1"/>
    <col min="2" max="2" width="34.625" customWidth="1"/>
    <col min="3" max="3" width="24" customWidth="1"/>
    <col min="4" max="4" width="23.625" customWidth="1"/>
    <col min="5" max="5" width="18.125" customWidth="1"/>
    <col min="6" max="7" width="21.625" customWidth="1"/>
    <col min="8" max="8" width="22.125" customWidth="1"/>
    <col min="9" max="9" width="10.375" hidden="1" customWidth="1"/>
    <col min="10" max="10" width="22.625" hidden="1" customWidth="1"/>
    <col min="11" max="11" width="17.625" hidden="1" customWidth="1"/>
    <col min="12" max="12" width="26.125" hidden="1" customWidth="1"/>
    <col min="13" max="13" width="14.125" hidden="1" customWidth="1"/>
    <col min="14" max="14" width="83.125" hidden="1" customWidth="1"/>
    <col min="15" max="15" width="10.625" hidden="1" customWidth="1"/>
  </cols>
  <sheetData>
    <row r="1" spans="1:16" ht="19.899999999999999">
      <c r="A1" s="62" t="s">
        <v>990</v>
      </c>
      <c r="B1" s="53"/>
      <c r="C1" s="53"/>
      <c r="D1" s="439" t="s">
        <v>36</v>
      </c>
      <c r="E1" s="53"/>
      <c r="F1" s="53"/>
      <c r="G1" s="53"/>
      <c r="H1" s="53"/>
      <c r="I1" s="53"/>
      <c r="J1" s="53"/>
      <c r="K1" s="53"/>
    </row>
    <row r="2" spans="1:16">
      <c r="A2" s="53"/>
      <c r="B2" s="53"/>
      <c r="C2" s="53"/>
      <c r="D2" s="53"/>
      <c r="E2" s="53"/>
      <c r="F2" s="53"/>
      <c r="G2" s="53"/>
      <c r="H2" s="53"/>
      <c r="I2" s="53"/>
      <c r="J2" s="53"/>
      <c r="K2" s="53"/>
    </row>
    <row r="3" spans="1:16">
      <c r="A3" s="53" t="s">
        <v>859</v>
      </c>
      <c r="B3" s="53"/>
      <c r="C3" s="53"/>
      <c r="D3" s="53"/>
      <c r="E3" s="53"/>
      <c r="F3" s="53"/>
      <c r="G3" s="53"/>
      <c r="H3" s="53"/>
      <c r="I3" s="53"/>
      <c r="J3" s="53"/>
      <c r="K3" s="53"/>
    </row>
    <row r="4" spans="1:16">
      <c r="A4" s="52"/>
      <c r="B4" s="50" t="s">
        <v>919</v>
      </c>
      <c r="C4" s="50" t="s">
        <v>861</v>
      </c>
    </row>
    <row r="5" spans="1:16" ht="19.899999999999999">
      <c r="A5" s="51" t="s">
        <v>862</v>
      </c>
      <c r="B5" s="335">
        <f>ROUNDUP(SUM(F22:F27,F30:F31),0)</f>
        <v>0</v>
      </c>
      <c r="C5" s="47"/>
      <c r="K5" s="41"/>
    </row>
    <row r="6" spans="1:16" ht="19.899999999999999">
      <c r="A6" s="601" t="s">
        <v>920</v>
      </c>
      <c r="B6" s="614">
        <f>ROUNDUP(SUM(G22:G27,G30:G31),0)</f>
        <v>0</v>
      </c>
      <c r="C6" s="603"/>
      <c r="D6" s="1" t="s">
        <v>864</v>
      </c>
      <c r="E6" s="28"/>
      <c r="K6" s="41"/>
    </row>
    <row r="7" spans="1:16" ht="19.899999999999999">
      <c r="A7" s="51" t="s">
        <v>865</v>
      </c>
      <c r="B7" s="336">
        <f>ROUNDUP(F34,0)</f>
        <v>0</v>
      </c>
      <c r="C7" s="48"/>
      <c r="I7" s="42" t="s">
        <v>921</v>
      </c>
      <c r="J7" s="42"/>
    </row>
    <row r="8" spans="1:16" ht="19.899999999999999">
      <c r="A8" s="54" t="s">
        <v>867</v>
      </c>
      <c r="B8" s="337">
        <f>B5+B7</f>
        <v>0</v>
      </c>
      <c r="C8" s="47" t="str">
        <f>IF(B8&gt;$K$8,TEXT($K$8,"#,###")&amp;"円を超過しています/Excessing "&amp;TEXT($K$8,"#,###")&amp;"JPY","")</f>
        <v/>
      </c>
      <c r="F8" s="53" t="str">
        <f>"※1拠点あたりの利用資源料上限額は "&amp;TEXT($K$8,"#,###")&amp;"円"</f>
        <v>※1拠点あたりの利用資源料上限額は 3,000,000円</v>
      </c>
      <c r="G8" s="53"/>
      <c r="K8" s="87">
        <v>3000000</v>
      </c>
    </row>
    <row r="9" spans="1:16">
      <c r="A9" s="46" t="s">
        <v>868</v>
      </c>
      <c r="B9" s="50"/>
      <c r="C9" s="49" t="str">
        <f>IF((COUNTBLANK(C8)+COUNTBLANK(H23:H27)+COUNTBLANK(H34))&lt;(1+ROWS(H23:H27)+ROWS(H34)),"資源超過などが発生しています/Problems are present","")</f>
        <v/>
      </c>
      <c r="F9" s="53" t="str">
        <f>"Note: Maximum resource fee per one center is "&amp;TEXT(K8,"#,###")&amp;"JPY"</f>
        <v>Note: Maximum resource fee per one center is 3,000,000JPY</v>
      </c>
      <c r="G9" s="53"/>
    </row>
    <row r="10" spans="1:16">
      <c r="A10" s="26"/>
      <c r="B10" s="26"/>
      <c r="C10" s="26"/>
      <c r="D10" s="26"/>
      <c r="E10" s="26"/>
      <c r="F10" s="26"/>
      <c r="G10" s="26"/>
      <c r="H10" s="26"/>
      <c r="I10" s="26"/>
      <c r="J10" s="26"/>
      <c r="K10" s="26"/>
    </row>
    <row r="11" spans="1:16">
      <c r="A11" s="26"/>
      <c r="B11" s="26"/>
      <c r="C11" s="26"/>
      <c r="D11" s="26"/>
      <c r="E11" s="26"/>
      <c r="F11" s="26"/>
      <c r="G11" s="26"/>
      <c r="H11" s="26"/>
      <c r="I11" s="26"/>
      <c r="J11" s="26"/>
      <c r="K11" s="26"/>
    </row>
    <row r="12" spans="1:16">
      <c r="A12" s="53" t="s">
        <v>922</v>
      </c>
      <c r="B12" s="40"/>
      <c r="C12" s="40"/>
      <c r="D12" s="44" t="s">
        <v>870</v>
      </c>
      <c r="E12" s="44"/>
      <c r="F12" s="217"/>
      <c r="G12" s="40"/>
      <c r="H12" s="40"/>
      <c r="I12" s="26"/>
      <c r="J12" s="26"/>
      <c r="K12" s="26"/>
    </row>
    <row r="13" spans="1:16">
      <c r="A13" s="26"/>
      <c r="B13" s="26"/>
      <c r="C13" s="26"/>
      <c r="E13" s="44" t="s">
        <v>871</v>
      </c>
      <c r="F13" s="338"/>
      <c r="G13" s="338"/>
      <c r="H13" s="26"/>
      <c r="I13" s="26"/>
      <c r="O13" s="121"/>
      <c r="P13" s="121"/>
    </row>
    <row r="14" spans="1:16" ht="49.5" hidden="1">
      <c r="A14" s="339" t="s">
        <v>991</v>
      </c>
      <c r="B14" s="122" t="s">
        <v>873</v>
      </c>
      <c r="C14" s="122" t="s">
        <v>923</v>
      </c>
      <c r="D14" s="122" t="s">
        <v>939</v>
      </c>
      <c r="E14" s="299" t="s">
        <v>876</v>
      </c>
      <c r="F14" s="122" t="s">
        <v>878</v>
      </c>
      <c r="G14" s="340" t="s">
        <v>879</v>
      </c>
      <c r="H14" s="123" t="s">
        <v>940</v>
      </c>
      <c r="I14" s="26"/>
      <c r="J14" s="124" t="s">
        <v>992</v>
      </c>
      <c r="K14" s="125" t="s">
        <v>993</v>
      </c>
      <c r="L14" s="126" t="s">
        <v>994</v>
      </c>
      <c r="M14" s="126" t="s">
        <v>995</v>
      </c>
      <c r="N14" s="127" t="s">
        <v>996</v>
      </c>
      <c r="O14" s="121"/>
      <c r="P14" s="121"/>
    </row>
    <row r="15" spans="1:16" ht="33" hidden="1">
      <c r="A15" s="128" t="s">
        <v>997</v>
      </c>
      <c r="B15" s="57" t="s">
        <v>998</v>
      </c>
      <c r="C15" s="341">
        <v>260000</v>
      </c>
      <c r="D15" s="342"/>
      <c r="E15" s="343" t="s">
        <v>884</v>
      </c>
      <c r="F15" s="344">
        <f>M15</f>
        <v>0</v>
      </c>
      <c r="G15" s="89">
        <f>IF(E15="○",F15,0)</f>
        <v>0</v>
      </c>
      <c r="H15" s="131" t="str">
        <f>IF(D15&gt;C15,"利用資源が超過しています","")</f>
        <v/>
      </c>
      <c r="I15" s="26"/>
      <c r="J15" s="124" t="s">
        <v>999</v>
      </c>
      <c r="K15" s="132">
        <f>2*0.052</f>
        <v>0.104</v>
      </c>
      <c r="L15" s="133">
        <f>D15*K15</f>
        <v>0</v>
      </c>
      <c r="M15" s="133">
        <f>L15*11/1000*10000</f>
        <v>0</v>
      </c>
      <c r="N15" s="133" t="s">
        <v>1000</v>
      </c>
      <c r="O15" s="134"/>
      <c r="P15" s="135"/>
    </row>
    <row r="16" spans="1:16" hidden="1">
      <c r="A16" s="136" t="s">
        <v>1001</v>
      </c>
      <c r="B16" s="57" t="s">
        <v>998</v>
      </c>
      <c r="C16" s="345">
        <v>61000</v>
      </c>
      <c r="D16" s="342"/>
      <c r="E16" s="343" t="s">
        <v>884</v>
      </c>
      <c r="F16" s="344">
        <f>M16</f>
        <v>0</v>
      </c>
      <c r="G16" s="267">
        <f>IF(E16="○",F16,0)</f>
        <v>0</v>
      </c>
      <c r="H16" s="131" t="str">
        <f>IF(D16&gt;C16,"利用資源が超過しています","")</f>
        <v/>
      </c>
      <c r="I16" s="26"/>
      <c r="J16" s="124" t="s">
        <v>1002</v>
      </c>
      <c r="K16" s="132">
        <f>2*0.2173</f>
        <v>0.43459999999999999</v>
      </c>
      <c r="L16" s="133">
        <f>D16*K16</f>
        <v>0</v>
      </c>
      <c r="M16" s="133">
        <f>L16*11/1000*10000</f>
        <v>0</v>
      </c>
      <c r="N16" s="133" t="s">
        <v>1003</v>
      </c>
      <c r="O16" s="138"/>
      <c r="P16" s="121"/>
    </row>
    <row r="17" spans="1:16" hidden="1">
      <c r="A17" s="346" t="s">
        <v>1004</v>
      </c>
      <c r="B17" s="57" t="s">
        <v>998</v>
      </c>
      <c r="C17" s="347">
        <v>193000</v>
      </c>
      <c r="D17" s="342"/>
      <c r="E17" s="343" t="s">
        <v>884</v>
      </c>
      <c r="F17" s="344">
        <f>M17</f>
        <v>0</v>
      </c>
      <c r="G17" s="272">
        <f t="shared" ref="G17" si="0">IF(E17="○",F17,0)</f>
        <v>0</v>
      </c>
      <c r="H17" s="131" t="str">
        <f>IF(D17&gt;C17,"利用資源が超過しています","")</f>
        <v/>
      </c>
      <c r="I17" s="26"/>
      <c r="J17" s="124" t="s">
        <v>1005</v>
      </c>
      <c r="K17" s="132">
        <f>2*0.0418</f>
        <v>8.3599999999999994E-2</v>
      </c>
      <c r="L17" s="133">
        <f>D17*K17</f>
        <v>0</v>
      </c>
      <c r="M17" s="133">
        <f>L17*11/1000*10000</f>
        <v>0</v>
      </c>
      <c r="N17" s="133" t="s">
        <v>1006</v>
      </c>
      <c r="O17" s="138"/>
      <c r="P17" s="121"/>
    </row>
    <row r="18" spans="1:16" ht="33" hidden="1">
      <c r="A18" s="348" t="s">
        <v>1007</v>
      </c>
      <c r="B18" s="57" t="s">
        <v>998</v>
      </c>
      <c r="C18" s="349">
        <v>3000</v>
      </c>
      <c r="D18" s="342"/>
      <c r="E18" s="343" t="s">
        <v>884</v>
      </c>
      <c r="F18" s="350">
        <f>M18</f>
        <v>0</v>
      </c>
      <c r="G18" s="273">
        <f>IF(E18="○",F18,0)</f>
        <v>0</v>
      </c>
      <c r="H18" s="131" t="str">
        <f>IF(D18&gt;C18,"利用資源が超過しています","")</f>
        <v/>
      </c>
      <c r="I18" s="26"/>
      <c r="J18" s="124" t="s">
        <v>1008</v>
      </c>
      <c r="K18" s="132">
        <f>2*0.3703</f>
        <v>0.74060000000000004</v>
      </c>
      <c r="L18" s="133">
        <f>D18*K18</f>
        <v>0</v>
      </c>
      <c r="M18" s="133">
        <f>L18*11/1000*10000</f>
        <v>0</v>
      </c>
      <c r="N18" s="133" t="s">
        <v>1009</v>
      </c>
      <c r="O18" s="138"/>
      <c r="P18" s="121"/>
    </row>
    <row r="19" spans="1:16" ht="18" hidden="1" thickBot="1">
      <c r="A19" s="140" t="s">
        <v>1010</v>
      </c>
      <c r="B19" s="351" t="s">
        <v>1011</v>
      </c>
      <c r="C19" s="352">
        <v>20</v>
      </c>
      <c r="D19" s="353"/>
      <c r="E19" s="354" t="s">
        <v>884</v>
      </c>
      <c r="F19" s="277">
        <f>M19</f>
        <v>0</v>
      </c>
      <c r="G19" s="333">
        <f>IF(E19="○",F19,0)</f>
        <v>0</v>
      </c>
      <c r="H19" s="143" t="str">
        <f>IF(D19&gt;C19,"利用資源が超過しています","")</f>
        <v/>
      </c>
      <c r="I19" s="26"/>
      <c r="J19" s="124" t="s">
        <v>1012</v>
      </c>
      <c r="K19" s="144"/>
      <c r="L19" s="145"/>
      <c r="M19" s="133">
        <f>IF((D19-3)&gt;0,(D19-3),0)*2000*1.1/10000*10000</f>
        <v>0</v>
      </c>
      <c r="N19" s="133"/>
      <c r="O19" s="138"/>
      <c r="P19" s="121"/>
    </row>
    <row r="20" spans="1:16" ht="5.25" customHeight="1" thickBot="1">
      <c r="A20" s="26"/>
      <c r="B20" s="26"/>
      <c r="C20" s="26"/>
      <c r="D20" s="26"/>
      <c r="E20" s="26"/>
      <c r="F20" s="265"/>
      <c r="G20" s="334"/>
      <c r="H20" s="26"/>
      <c r="I20" s="26"/>
      <c r="J20" s="146"/>
      <c r="K20" s="26"/>
      <c r="L20" s="26"/>
      <c r="O20" s="138"/>
      <c r="P20" s="121"/>
    </row>
    <row r="21" spans="1:16" ht="49.5">
      <c r="A21" s="147" t="s">
        <v>1013</v>
      </c>
      <c r="B21" s="122" t="s">
        <v>873</v>
      </c>
      <c r="C21" s="122" t="s">
        <v>923</v>
      </c>
      <c r="D21" s="122" t="s">
        <v>939</v>
      </c>
      <c r="E21" s="615" t="s">
        <v>1014</v>
      </c>
      <c r="F21" s="607" t="s">
        <v>1015</v>
      </c>
      <c r="G21" s="616" t="s">
        <v>879</v>
      </c>
      <c r="H21" s="123" t="s">
        <v>940</v>
      </c>
      <c r="I21" s="26"/>
      <c r="J21" s="124" t="s">
        <v>1016</v>
      </c>
      <c r="K21" s="126" t="s">
        <v>1017</v>
      </c>
      <c r="L21" s="125" t="s">
        <v>1018</v>
      </c>
      <c r="M21" s="126" t="s">
        <v>995</v>
      </c>
      <c r="N21" s="133"/>
      <c r="O21" s="138"/>
      <c r="P21" s="121"/>
    </row>
    <row r="22" spans="1:16" ht="33">
      <c r="A22" s="128" t="s">
        <v>1019</v>
      </c>
      <c r="B22" s="57" t="s">
        <v>1020</v>
      </c>
      <c r="C22" s="148">
        <v>23.7</v>
      </c>
      <c r="D22" s="229"/>
      <c r="E22" s="245" t="s">
        <v>884</v>
      </c>
      <c r="F22" s="130">
        <f>M22</f>
        <v>0</v>
      </c>
      <c r="G22" s="267">
        <f>IF(E22="○",F22,0)</f>
        <v>0</v>
      </c>
      <c r="H22" s="131" t="str">
        <f>IF(D22&gt;C22,"利用資源が超過しています","")</f>
        <v/>
      </c>
      <c r="I22" s="26"/>
      <c r="J22" s="124" t="s">
        <v>1021</v>
      </c>
      <c r="K22" s="149"/>
      <c r="L22" s="150"/>
      <c r="M22" s="133">
        <f>D22*115000*1.1</f>
        <v>0</v>
      </c>
      <c r="N22" s="133" t="s">
        <v>1022</v>
      </c>
      <c r="O22" s="309">
        <f>1150000*1.1/10000</f>
        <v>126.5</v>
      </c>
      <c r="P22" s="121"/>
    </row>
    <row r="23" spans="1:16" ht="33">
      <c r="A23" s="128" t="s">
        <v>1023</v>
      </c>
      <c r="B23" s="57" t="s">
        <v>998</v>
      </c>
      <c r="C23" s="129">
        <v>114000</v>
      </c>
      <c r="D23" s="645"/>
      <c r="E23" s="245" t="s">
        <v>884</v>
      </c>
      <c r="F23" s="130">
        <f t="shared" ref="F23:F27" si="1">M23</f>
        <v>0</v>
      </c>
      <c r="G23" s="118">
        <f>IF(E23="○",F23,0)</f>
        <v>0</v>
      </c>
      <c r="H23" s="659" t="str">
        <f t="shared" ref="H23" si="2">IF(D23&gt;C23,"利用資源が超過しています","")</f>
        <v/>
      </c>
      <c r="I23" s="26"/>
      <c r="J23" s="124" t="s">
        <v>999</v>
      </c>
      <c r="K23" s="78">
        <f>0.2998*1*0.85</f>
        <v>0.25483</v>
      </c>
      <c r="L23" s="132">
        <f>D23*K23</f>
        <v>0</v>
      </c>
      <c r="M23" s="133" cm="1">
        <f t="array" ref="M23">QUOTIENT(L23,60000)*5500000
 + IF(
     MOD(L23,60000)=0,
     0,
     _xlfn.XLOOKUP(
       MOD(L23,60000),
       {1000,2000,3000,4000,5250,6250,7250,8250,9250,11000,12000,13000,14000,15000,16250,17250,18250,19250,20250,22000,23000,24000,25000,26000,27250,28250,29250,30250,31250,34500,35500,36500,37500,38500,39750,40750,41750,42750,43750,45500,46500,47500,48500,49500,50750,51750,52750,53750,54750,60000},
       {110000,220000,330000,440000,550000,660000,770000,880000,990000,1100000,1210000,1320000,1430000,1540000,1650000,1760000,1870000,1980000,2090000,2200000,2310000,2420000,2530000,2640000,2750000,2860000,2970000,3080000,3190000,3300000,3410000,3520000,3630000,3740000,3850000,3960000,4070000,4180000,4290000,4400000,4510000,4620000,4730000,4840000,4950000,5060000,5170000,5280000,5390000,5500000},
       , 1
     )
   )</f>
        <v>0</v>
      </c>
      <c r="N23" s="133" t="s">
        <v>1024</v>
      </c>
      <c r="O23" s="138"/>
      <c r="P23" s="121"/>
    </row>
    <row r="24" spans="1:16">
      <c r="A24" s="136" t="s">
        <v>1001</v>
      </c>
      <c r="B24" s="57" t="s">
        <v>998</v>
      </c>
      <c r="C24" s="137">
        <v>18000</v>
      </c>
      <c r="D24" s="230"/>
      <c r="E24" s="245" t="s">
        <v>884</v>
      </c>
      <c r="F24" s="660">
        <f t="shared" si="1"/>
        <v>0</v>
      </c>
      <c r="G24" s="661">
        <f t="shared" ref="G24" si="3">IF(E24="○",F24,0)</f>
        <v>0</v>
      </c>
      <c r="H24" s="659" t="str">
        <f>IF(D24&gt;C24,"利用資源が超過しています","")</f>
        <v/>
      </c>
      <c r="I24" s="26"/>
      <c r="J24" s="124" t="s">
        <v>1002</v>
      </c>
      <c r="K24" s="78">
        <f>1.8348*1*0.85</f>
        <v>1.55958</v>
      </c>
      <c r="L24" s="132">
        <f>D24*K24</f>
        <v>0</v>
      </c>
      <c r="M24" s="133" cm="1">
        <f t="array" ref="M24">QUOTIENT(L24,60000)*5500000
 + IF(
     MOD(L24,60000)=0,
     0,
     _xlfn.XLOOKUP(
       MOD(L24,60000),
       {1000,2000,3000,4000,5250,6250,7250,8250,9250,11000,12000,13000,14000,15000,16250,17250,18250,19250,20250,22000,23000,24000,25000,26000,27250,28250,29250,30250,31250,34500,35500,36500,37500,38500,39750,40750,41750,42750,43750,45500,46500,47500,48500,49500,50750,51750,52750,53750,54750,60000},
       {110000,220000,330000,440000,550000,660000,770000,880000,990000,1100000,1210000,1320000,1430000,1540000,1650000,1760000,1870000,1980000,2090000,2200000,2310000,2420000,2530000,2640000,2750000,2860000,2970000,3080000,3190000,3300000,3410000,3520000,3630000,3740000,3850000,3960000,4070000,4180000,4290000,4400000,4510000,4620000,4730000,4840000,4950000,5060000,5170000,5280000,5390000,5500000},
       , 1
     )
   )</f>
        <v>0</v>
      </c>
      <c r="N24" s="133" t="s">
        <v>1024</v>
      </c>
      <c r="O24" s="138"/>
      <c r="P24" s="121"/>
    </row>
    <row r="25" spans="1:16">
      <c r="A25" s="136" t="s">
        <v>1025</v>
      </c>
      <c r="B25" s="57" t="s">
        <v>998</v>
      </c>
      <c r="C25" s="137">
        <v>30000</v>
      </c>
      <c r="D25" s="231"/>
      <c r="E25" s="245" t="s">
        <v>884</v>
      </c>
      <c r="F25" s="139">
        <f t="shared" si="1"/>
        <v>0</v>
      </c>
      <c r="G25" s="272">
        <f>IF(E25="○",F25,0)</f>
        <v>0</v>
      </c>
      <c r="H25" s="131" t="str">
        <f t="shared" ref="H25:H27" si="4">IF(D25&gt;C25,"利用資源が超過しています","")</f>
        <v/>
      </c>
      <c r="I25" s="26"/>
      <c r="J25" s="124" t="s">
        <v>1026</v>
      </c>
      <c r="K25" s="78">
        <f>1.1312*1*0.85</f>
        <v>0.96151999999999993</v>
      </c>
      <c r="L25" s="132">
        <f>D25*K25</f>
        <v>0</v>
      </c>
      <c r="M25" s="133" cm="1">
        <f t="array" ref="M25">QUOTIENT(L25,60000)*5500000
 + IF(
     MOD(L25,60000)=0,
     0,
     _xlfn.XLOOKUP(
       MOD(L25,60000),
       {1000,2000,3000,4000,5250,6250,7250,8250,9250,11000,12000,13000,14000,15000,16250,17250,18250,19250,20250,22000,23000,24000,25000,26000,27250,28250,29250,30250,31250,34500,35500,36500,37500,38500,39750,40750,41750,42750,43750,45500,46500,47500,48500,49500,50750,51750,52750,53750,54750,60000},
       {110000,220000,330000,440000,550000,660000,770000,880000,990000,1100000,1210000,1320000,1430000,1540000,1650000,1760000,1870000,1980000,2090000,2200000,2310000,2420000,2530000,2640000,2750000,2860000,2970000,3080000,3190000,3300000,3410000,3520000,3630000,3740000,3850000,3960000,4070000,4180000,4290000,4400000,4510000,4620000,4730000,4840000,4950000,5060000,5170000,5280000,5390000,5500000},
       , 1
     )
   )</f>
        <v>0</v>
      </c>
      <c r="N25" s="133" t="s">
        <v>1024</v>
      </c>
      <c r="O25" s="138"/>
      <c r="P25" s="121"/>
    </row>
    <row r="26" spans="1:16">
      <c r="A26" s="195" t="s">
        <v>1010</v>
      </c>
      <c r="B26" s="621" t="s">
        <v>1027</v>
      </c>
      <c r="C26" s="151">
        <v>500</v>
      </c>
      <c r="D26" s="231"/>
      <c r="E26" s="245" t="s">
        <v>884</v>
      </c>
      <c r="F26" s="152">
        <f t="shared" si="1"/>
        <v>0</v>
      </c>
      <c r="G26" s="273">
        <f>IF(E26="○",F26,0)</f>
        <v>0</v>
      </c>
      <c r="H26" s="131" t="str">
        <f t="shared" si="4"/>
        <v/>
      </c>
      <c r="I26" s="26"/>
      <c r="J26" s="124" t="s">
        <v>1028</v>
      </c>
      <c r="K26" s="149"/>
      <c r="L26" s="150"/>
      <c r="M26" s="133">
        <f>IF(D26-5&gt;0,D26-5,0)*2000*1.1/10000*10000</f>
        <v>0</v>
      </c>
      <c r="N26" s="133"/>
      <c r="O26" s="138"/>
      <c r="P26" s="121"/>
    </row>
    <row r="27" spans="1:16" ht="18" thickBot="1">
      <c r="A27" s="140" t="s">
        <v>1029</v>
      </c>
      <c r="B27" s="622" t="s">
        <v>1027</v>
      </c>
      <c r="C27" s="141">
        <v>10</v>
      </c>
      <c r="D27" s="232"/>
      <c r="E27" s="271" t="s">
        <v>884</v>
      </c>
      <c r="F27" s="142">
        <f t="shared" si="1"/>
        <v>0</v>
      </c>
      <c r="G27" s="274">
        <f>IF(E27="○",F27,0)</f>
        <v>0</v>
      </c>
      <c r="H27" s="143" t="str">
        <f t="shared" si="4"/>
        <v/>
      </c>
      <c r="I27" s="26"/>
      <c r="J27" s="124" t="s">
        <v>1030</v>
      </c>
      <c r="K27" s="149"/>
      <c r="L27" s="150"/>
      <c r="M27" s="133">
        <f>D27*5000*1.1/10000*10000</f>
        <v>0</v>
      </c>
      <c r="O27" s="138"/>
      <c r="P27" s="121"/>
    </row>
    <row r="28" spans="1:16" ht="18" thickBot="1">
      <c r="F28" s="82"/>
      <c r="G28" s="266"/>
      <c r="I28" s="26"/>
      <c r="J28" s="146"/>
      <c r="K28" s="26"/>
      <c r="O28" s="138"/>
      <c r="P28" s="121"/>
    </row>
    <row r="29" spans="1:16" s="1" customFormat="1" ht="49.5">
      <c r="A29" s="635" t="s">
        <v>991</v>
      </c>
      <c r="B29" s="607" t="s">
        <v>873</v>
      </c>
      <c r="C29" s="607" t="s">
        <v>923</v>
      </c>
      <c r="D29" s="607" t="s">
        <v>939</v>
      </c>
      <c r="E29" s="615" t="s">
        <v>1014</v>
      </c>
      <c r="F29" s="607" t="s">
        <v>1015</v>
      </c>
      <c r="G29" s="616" t="s">
        <v>879</v>
      </c>
      <c r="H29" s="636" t="s">
        <v>940</v>
      </c>
      <c r="I29" s="637"/>
      <c r="J29" s="638" t="s">
        <v>1016</v>
      </c>
      <c r="K29" s="639" t="s">
        <v>1017</v>
      </c>
      <c r="L29" s="640" t="s">
        <v>1018</v>
      </c>
      <c r="M29" s="639" t="s">
        <v>995</v>
      </c>
      <c r="N29" s="641"/>
      <c r="O29" s="138"/>
      <c r="P29" s="121"/>
    </row>
    <row r="30" spans="1:16" s="1" customFormat="1" ht="33">
      <c r="A30" s="642" t="s">
        <v>1023</v>
      </c>
      <c r="B30" s="643" t="s">
        <v>998</v>
      </c>
      <c r="C30" s="644">
        <v>65000</v>
      </c>
      <c r="D30" s="645"/>
      <c r="E30" s="646"/>
      <c r="F30" s="647">
        <f t="shared" ref="F30:F31" si="5">M30</f>
        <v>0</v>
      </c>
      <c r="G30" s="648">
        <f>IF(E30="○",F30,0)</f>
        <v>0</v>
      </c>
      <c r="H30" s="649" t="str">
        <f t="shared" ref="H30:H31" si="6">IF(D30&gt;C30,"利用資源が超過しています","")</f>
        <v/>
      </c>
      <c r="I30" s="637"/>
      <c r="J30" s="638" t="s">
        <v>999</v>
      </c>
      <c r="K30" s="641">
        <f>0.5287*1*0.85</f>
        <v>0.44939499999999993</v>
      </c>
      <c r="L30" s="650">
        <f>D30*K30</f>
        <v>0</v>
      </c>
      <c r="M30" s="133" cm="1">
        <f t="array" ref="M30">QUOTIENT(L30,60000)*5500000
 + IF(
     MOD(L30,60000)=0,
     0,
     _xlfn.XLOOKUP(
       MOD(L30,60000),
       {1000,2000,3000,4000,5250,6250,7250,8250,9250,11000,12000,13000,14000,15000,16250,17250,18250,19250,20250,22000,23000,24000,25000,26000,27250,28250,29250,30250,31250,34500,35500,36500,37500,38500,39750,40750,41750,42750,43750,45500,46500,47500,48500,49500,50750,51750,52750,53750,54750,60000},
       {110000,220000,330000,440000,550000,660000,770000,880000,990000,1100000,1210000,1320000,1430000,1540000,1650000,1760000,1870000,1980000,2090000,2200000,2310000,2420000,2530000,2640000,2750000,2860000,2970000,3080000,3190000,3300000,3410000,3520000,3630000,3740000,3850000,3960000,4070000,4180000,4290000,4400000,4510000,4620000,4730000,4840000,4950000,5060000,5170000,5280000,5390000,5500000},
       , 1
     )
   )</f>
        <v>0</v>
      </c>
      <c r="N30" s="641" t="s">
        <v>1024</v>
      </c>
      <c r="O30" s="138"/>
      <c r="P30" s="121"/>
    </row>
    <row r="31" spans="1:16" s="1" customFormat="1" ht="18" thickBot="1">
      <c r="A31" s="651" t="s">
        <v>1010</v>
      </c>
      <c r="B31" s="622" t="s">
        <v>1027</v>
      </c>
      <c r="C31" s="141">
        <v>100</v>
      </c>
      <c r="D31" s="652"/>
      <c r="E31" s="653" t="s">
        <v>884</v>
      </c>
      <c r="F31" s="654">
        <f t="shared" si="5"/>
        <v>0</v>
      </c>
      <c r="G31" s="655">
        <f>IF(E31="○",F31,0)</f>
        <v>0</v>
      </c>
      <c r="H31" s="656" t="str">
        <f t="shared" si="6"/>
        <v/>
      </c>
      <c r="I31" s="637"/>
      <c r="J31" s="638" t="s">
        <v>1028</v>
      </c>
      <c r="K31" s="657"/>
      <c r="L31" s="658"/>
      <c r="M31" s="641">
        <f>IF(D31-5&gt;0,D31-5,0)*2000*1.1/10000*10000</f>
        <v>0</v>
      </c>
      <c r="N31" s="81"/>
      <c r="O31" s="138"/>
      <c r="P31" s="121"/>
    </row>
    <row r="32" spans="1:16" ht="18" thickBot="1">
      <c r="F32" s="82"/>
      <c r="G32" s="266"/>
      <c r="I32" s="26"/>
      <c r="J32" s="146"/>
      <c r="K32" s="26"/>
      <c r="O32" s="138"/>
      <c r="P32" s="121"/>
    </row>
    <row r="33" spans="1:16" ht="34.15">
      <c r="A33" s="154" t="s">
        <v>1031</v>
      </c>
      <c r="B33" s="122" t="s">
        <v>873</v>
      </c>
      <c r="C33" s="122" t="s">
        <v>923</v>
      </c>
      <c r="D33" s="122" t="s">
        <v>939</v>
      </c>
      <c r="E33" s="122"/>
      <c r="F33" s="122" t="s">
        <v>1015</v>
      </c>
      <c r="G33" s="275"/>
      <c r="H33" s="123" t="s">
        <v>940</v>
      </c>
      <c r="I33" s="26"/>
      <c r="J33" s="124" t="s">
        <v>1032</v>
      </c>
      <c r="K33" s="125" t="s">
        <v>993</v>
      </c>
      <c r="L33" s="126" t="s">
        <v>1018</v>
      </c>
      <c r="M33" s="126" t="s">
        <v>995</v>
      </c>
      <c r="N33" s="133"/>
      <c r="O33" s="138"/>
      <c r="P33" s="121"/>
    </row>
    <row r="34" spans="1:16" ht="18" thickBot="1">
      <c r="A34" s="153" t="s">
        <v>1033</v>
      </c>
      <c r="B34" s="622" t="s">
        <v>1027</v>
      </c>
      <c r="C34" s="155">
        <v>80</v>
      </c>
      <c r="D34" s="298"/>
      <c r="E34" s="276"/>
      <c r="F34" s="277">
        <f>M34</f>
        <v>0</v>
      </c>
      <c r="G34" s="276"/>
      <c r="H34" s="156" t="str">
        <f>IF(D34&gt;C34,"利用資源が超過しています","")</f>
        <v/>
      </c>
      <c r="I34" s="26"/>
      <c r="J34" s="124" t="s">
        <v>1034</v>
      </c>
      <c r="K34" s="144"/>
      <c r="L34" s="157"/>
      <c r="M34" s="133">
        <f>D34*12000*1.1/10000*10000</f>
        <v>0</v>
      </c>
      <c r="N34" s="133"/>
      <c r="O34" s="138"/>
      <c r="P34" s="121"/>
    </row>
    <row r="35" spans="1:16">
      <c r="A35" s="26"/>
      <c r="B35" s="26"/>
      <c r="C35" s="26"/>
      <c r="D35" s="26"/>
      <c r="E35" s="26"/>
      <c r="F35" s="26"/>
      <c r="G35" s="26"/>
      <c r="H35" s="26"/>
      <c r="I35" s="26"/>
      <c r="J35" s="158"/>
      <c r="K35" s="26"/>
      <c r="O35" s="138"/>
      <c r="P35" s="121"/>
    </row>
    <row r="36" spans="1:16">
      <c r="A36" s="26"/>
      <c r="B36" s="96"/>
      <c r="C36" s="26"/>
      <c r="D36" s="26"/>
      <c r="E36" s="26"/>
      <c r="F36" s="26"/>
      <c r="G36" s="26"/>
      <c r="H36" s="26"/>
      <c r="I36" s="26"/>
      <c r="J36" s="26"/>
      <c r="K36" s="26"/>
      <c r="O36" s="138"/>
      <c r="P36" s="121"/>
    </row>
    <row r="37" spans="1:16">
      <c r="A37" s="26"/>
      <c r="B37" s="96"/>
      <c r="C37" s="26"/>
      <c r="D37" s="26"/>
      <c r="E37" s="26"/>
      <c r="F37" s="26"/>
      <c r="G37" s="26"/>
      <c r="H37" s="26"/>
      <c r="I37" s="26"/>
      <c r="J37" s="26"/>
      <c r="K37" s="26"/>
      <c r="O37" s="138"/>
      <c r="P37" s="121"/>
    </row>
    <row r="38" spans="1:16">
      <c r="A38" s="25"/>
      <c r="B38" s="96"/>
      <c r="C38" s="26"/>
      <c r="D38" s="26"/>
      <c r="E38" s="26"/>
      <c r="F38" s="26"/>
      <c r="G38" s="26"/>
      <c r="H38" s="26"/>
      <c r="I38" s="26"/>
      <c r="J38" s="26"/>
      <c r="K38" s="26"/>
      <c r="O38" s="138"/>
      <c r="P38" s="121"/>
    </row>
    <row r="39" spans="1:16">
      <c r="A39" s="26"/>
      <c r="B39" s="96"/>
      <c r="C39" s="26"/>
      <c r="D39" s="26"/>
      <c r="E39" s="26"/>
      <c r="F39" s="26"/>
      <c r="G39" s="26"/>
      <c r="H39" s="26"/>
      <c r="I39" s="26"/>
      <c r="J39" s="26"/>
      <c r="K39" s="26"/>
      <c r="O39" s="138"/>
      <c r="P39" s="121"/>
    </row>
    <row r="40" spans="1:16">
      <c r="A40" s="26"/>
      <c r="B40" s="96"/>
      <c r="C40" s="26"/>
      <c r="D40" s="26"/>
      <c r="E40" s="26"/>
      <c r="F40" s="26"/>
      <c r="G40" s="26"/>
      <c r="H40" s="26"/>
      <c r="I40" s="26"/>
      <c r="J40" s="26"/>
      <c r="K40" s="26"/>
      <c r="O40" s="138"/>
      <c r="P40" s="121"/>
    </row>
    <row r="41" spans="1:16">
      <c r="B41" s="26"/>
      <c r="O41" s="138"/>
      <c r="P41" s="121"/>
    </row>
    <row r="42" spans="1:16">
      <c r="B42" s="196"/>
      <c r="O42" s="138"/>
      <c r="P42" s="121"/>
    </row>
    <row r="43" spans="1:16">
      <c r="B43" s="96"/>
      <c r="O43" s="138"/>
      <c r="P43" s="121"/>
    </row>
    <row r="44" spans="1:16">
      <c r="B44" s="96"/>
      <c r="O44" s="138"/>
      <c r="P44" s="121"/>
    </row>
    <row r="45" spans="1:16">
      <c r="B45" s="96"/>
      <c r="O45" s="138"/>
      <c r="P45" s="121"/>
    </row>
    <row r="46" spans="1:16">
      <c r="B46" s="96"/>
      <c r="O46" s="138"/>
      <c r="P46" s="121"/>
    </row>
    <row r="47" spans="1:16">
      <c r="B47" s="96"/>
      <c r="O47" s="138"/>
      <c r="P47" s="121"/>
    </row>
    <row r="48" spans="1:16">
      <c r="B48" s="96"/>
      <c r="O48" s="138"/>
      <c r="P48" s="121"/>
    </row>
    <row r="49" spans="2:16">
      <c r="O49" s="138"/>
      <c r="P49" s="121"/>
    </row>
    <row r="50" spans="2:16">
      <c r="B50" s="196"/>
      <c r="O50" s="138"/>
      <c r="P50" s="121"/>
    </row>
    <row r="51" spans="2:16">
      <c r="B51" s="96"/>
    </row>
  </sheetData>
  <sheetProtection algorithmName="SHA-512" hashValue="sqwa7628UgA/YT6Mjpmz/lLgzb0NdeUp/x12iW98w9O6DtGxB016OiUB0+bSDQKkVbbQAUfaNl9zHf73dJ96yA==" saltValue="JGbHHQpTEnwwoBTuyxzwzg==" spinCount="100000" sheet="1" objects="1" scenarios="1"/>
  <phoneticPr fontId="1"/>
  <conditionalFormatting sqref="B8">
    <cfRule type="expression" dxfId="7" priority="4">
      <formula>B8&gt;#REF!</formula>
    </cfRule>
  </conditionalFormatting>
  <conditionalFormatting sqref="D15:D18 D22:D27">
    <cfRule type="expression" dxfId="6" priority="3">
      <formula>D15&gt;C15</formula>
    </cfRule>
  </conditionalFormatting>
  <conditionalFormatting sqref="D30:D31">
    <cfRule type="expression" dxfId="5" priority="2">
      <formula>D30&gt;C30</formula>
    </cfRule>
  </conditionalFormatting>
  <conditionalFormatting sqref="D34">
    <cfRule type="expression" dxfId="4" priority="1">
      <formula>D34&gt;C34</formula>
    </cfRule>
  </conditionalFormatting>
  <dataValidations count="1">
    <dataValidation type="list" showInputMessage="1" showErrorMessage="1" sqref="E15:E19 E30:E31 E22:E27" xr:uid="{7FB896E7-63E5-4805-AD7D-944E0372B632}">
      <formula1>"○,　,"</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8101A-76BC-1047-B24F-D32D2965F9AC}">
  <dimension ref="A1:L49"/>
  <sheetViews>
    <sheetView zoomScale="80" zoomScaleNormal="80" workbookViewId="0">
      <selection activeCell="G8" sqref="G8"/>
    </sheetView>
  </sheetViews>
  <sheetFormatPr defaultColWidth="8.625" defaultRowHeight="17.649999999999999"/>
  <cols>
    <col min="1" max="1" width="67.625" style="40" customWidth="1"/>
    <col min="2" max="2" width="34.625" style="40" customWidth="1"/>
    <col min="3" max="3" width="23" style="40" customWidth="1"/>
    <col min="4" max="4" width="16" style="40" customWidth="1"/>
    <col min="5" max="5" width="14.125" style="40" customWidth="1"/>
    <col min="6" max="6" width="20.625" style="40" customWidth="1"/>
    <col min="7" max="7" width="21.625" style="40" customWidth="1"/>
    <col min="8" max="8" width="23.875" style="40" customWidth="1"/>
    <col min="9" max="9" width="8.625" style="40" hidden="1" customWidth="1"/>
    <col min="10" max="10" width="11.875" style="40" hidden="1" customWidth="1"/>
    <col min="11" max="12" width="8.625" style="40" hidden="1" customWidth="1"/>
    <col min="13" max="13" width="8.625" style="40" customWidth="1"/>
    <col min="14" max="16384" width="8.625" style="40"/>
  </cols>
  <sheetData>
    <row r="1" spans="1:11" ht="19.899999999999999">
      <c r="A1" s="117" t="s">
        <v>1035</v>
      </c>
      <c r="B1" s="38"/>
      <c r="C1" s="88"/>
      <c r="D1" s="439" t="s">
        <v>36</v>
      </c>
      <c r="E1" s="88"/>
      <c r="F1" s="88"/>
      <c r="G1" s="88"/>
      <c r="H1" s="88"/>
      <c r="I1" s="88"/>
      <c r="J1" s="88"/>
    </row>
    <row r="2" spans="1:11">
      <c r="A2" s="88"/>
      <c r="B2" s="88"/>
      <c r="C2" s="88"/>
      <c r="D2" s="88"/>
      <c r="E2" s="88"/>
      <c r="F2" s="88"/>
      <c r="G2" s="88"/>
      <c r="H2" s="88"/>
      <c r="I2" s="88"/>
      <c r="J2" s="88"/>
    </row>
    <row r="3" spans="1:11">
      <c r="A3" s="53" t="s">
        <v>859</v>
      </c>
      <c r="B3" s="88"/>
      <c r="C3" s="88"/>
      <c r="D3" s="88"/>
      <c r="E3" s="88"/>
      <c r="F3" s="88"/>
      <c r="G3" s="88"/>
      <c r="H3" s="88"/>
      <c r="I3" s="88"/>
      <c r="J3" s="88"/>
    </row>
    <row r="4" spans="1:11">
      <c r="A4" s="52"/>
      <c r="B4" s="50" t="s">
        <v>919</v>
      </c>
      <c r="C4" s="50" t="s">
        <v>861</v>
      </c>
    </row>
    <row r="5" spans="1:11" ht="19.899999999999999">
      <c r="A5" s="51" t="s">
        <v>862</v>
      </c>
      <c r="B5" s="83">
        <f>ROUNDUP(F15+F16+F17+F18,0)</f>
        <v>0</v>
      </c>
      <c r="C5" s="47"/>
      <c r="I5" s="42" t="s">
        <v>921</v>
      </c>
      <c r="J5" s="41"/>
    </row>
    <row r="6" spans="1:11" ht="19.899999999999999">
      <c r="A6" s="601" t="s">
        <v>920</v>
      </c>
      <c r="B6" s="602">
        <f>ROUNDUP(G15+G16+G17+G18,0)</f>
        <v>0</v>
      </c>
      <c r="C6" s="603"/>
      <c r="D6" s="1" t="s">
        <v>864</v>
      </c>
      <c r="E6" s="28"/>
      <c r="F6" s="28"/>
      <c r="G6" s="28"/>
      <c r="I6" s="42"/>
      <c r="J6" s="41"/>
    </row>
    <row r="7" spans="1:11" ht="19.899999999999999">
      <c r="A7" s="51" t="s">
        <v>865</v>
      </c>
      <c r="B7" s="83">
        <f>ROUNDUP(SUM(F20:F35),0)</f>
        <v>0</v>
      </c>
      <c r="C7" s="47"/>
      <c r="I7" s="42"/>
      <c r="J7" s="41"/>
    </row>
    <row r="8" spans="1:11" ht="19.899999999999999">
      <c r="A8" s="54" t="s">
        <v>867</v>
      </c>
      <c r="B8" s="86">
        <f>B5+B7</f>
        <v>0</v>
      </c>
      <c r="C8" s="47" t="str">
        <f>IF(B8&gt;$J$8,TEXT($J$8,"#,###")&amp;"円を超過しています/Excessing "&amp;TEXT($J$8,"#,###")&amp;"JPY","")</f>
        <v/>
      </c>
      <c r="F8" s="88"/>
      <c r="G8" s="88"/>
      <c r="H8" s="53" t="str">
        <f>"※1拠点あたりの利用資源料上限額は "&amp;TEXT($J$8,"#,###")&amp;"円"</f>
        <v>※1拠点あたりの利用資源料上限額は 3,000,000円</v>
      </c>
      <c r="J8" s="87">
        <v>3000000</v>
      </c>
    </row>
    <row r="9" spans="1:11">
      <c r="A9" s="46" t="s">
        <v>868</v>
      </c>
      <c r="B9" s="46"/>
      <c r="C9" s="49" t="str">
        <f>IF((COUNTBLANK(C8)+COUNTBLANK(H15:H35))&lt;(1+ROWS(H15:H35)),"資源超過などが発生しています/Problems are present","")</f>
        <v/>
      </c>
      <c r="H9" s="53" t="str">
        <f>"Note: Maximum resource fee per one center is "&amp;TEXT(J8,"#,###")&amp;"JPY"</f>
        <v>Note: Maximum resource fee per one center is 3,000,000JPY</v>
      </c>
    </row>
    <row r="10" spans="1:11">
      <c r="A10" s="108"/>
      <c r="B10" s="108"/>
      <c r="C10" s="108"/>
      <c r="D10" s="108"/>
      <c r="E10" s="108"/>
      <c r="F10" s="108"/>
      <c r="G10" s="108"/>
      <c r="H10" s="108"/>
      <c r="I10" s="108"/>
      <c r="J10" s="108"/>
    </row>
    <row r="11" spans="1:11">
      <c r="A11" s="53" t="s">
        <v>922</v>
      </c>
      <c r="D11" s="44" t="s">
        <v>870</v>
      </c>
      <c r="E11" s="44"/>
      <c r="F11" s="303"/>
      <c r="G11" s="303"/>
      <c r="H11" s="108"/>
      <c r="I11" s="108"/>
      <c r="J11" s="108"/>
    </row>
    <row r="12" spans="1:11">
      <c r="A12" s="53"/>
      <c r="D12"/>
      <c r="E12" s="44" t="s">
        <v>871</v>
      </c>
      <c r="F12" s="303"/>
      <c r="G12" s="303"/>
      <c r="H12" s="108"/>
      <c r="I12" s="108"/>
      <c r="J12" s="108"/>
    </row>
    <row r="13" spans="1:11" ht="51" customHeight="1">
      <c r="A13" s="193" t="s">
        <v>872</v>
      </c>
      <c r="B13" s="268" t="s">
        <v>873</v>
      </c>
      <c r="C13" s="268" t="s">
        <v>923</v>
      </c>
      <c r="D13" s="268" t="s">
        <v>939</v>
      </c>
      <c r="E13" s="612" t="s">
        <v>876</v>
      </c>
      <c r="F13" s="613" t="s">
        <v>878</v>
      </c>
      <c r="G13" s="634" t="s">
        <v>879</v>
      </c>
      <c r="H13" s="268" t="s">
        <v>940</v>
      </c>
      <c r="I13" s="108"/>
      <c r="J13" s="108" t="s">
        <v>880</v>
      </c>
    </row>
    <row r="14" spans="1:11">
      <c r="A14" s="205" t="s">
        <v>1036</v>
      </c>
      <c r="B14" s="295"/>
      <c r="C14" s="295"/>
      <c r="D14" s="295"/>
      <c r="E14" s="174"/>
      <c r="F14" s="295"/>
      <c r="G14" s="296"/>
      <c r="H14" s="297"/>
      <c r="I14" s="108"/>
      <c r="J14" s="179"/>
    </row>
    <row r="15" spans="1:11">
      <c r="A15" s="118" t="s">
        <v>1037</v>
      </c>
      <c r="B15" s="118" t="s">
        <v>931</v>
      </c>
      <c r="C15" s="501">
        <f>TRUNC(J8/J15)</f>
        <v>144230</v>
      </c>
      <c r="D15" s="227"/>
      <c r="E15" s="245" t="s">
        <v>884</v>
      </c>
      <c r="F15" s="119">
        <f>D15*J15</f>
        <v>0</v>
      </c>
      <c r="G15" s="267">
        <f>IF(E15="○",F15,0)</f>
        <v>0</v>
      </c>
      <c r="H15" s="120" t="str">
        <f>IF(C15&lt;D15,"利用資源が超過しています","")</f>
        <v/>
      </c>
      <c r="I15" s="108"/>
      <c r="J15" s="40">
        <f>TRUNC(K15/(360*24),1)</f>
        <v>20.8</v>
      </c>
      <c r="K15" s="40">
        <v>180000</v>
      </c>
    </row>
    <row r="16" spans="1:11" ht="49.5">
      <c r="A16" s="118" t="s">
        <v>1038</v>
      </c>
      <c r="B16" s="118" t="s">
        <v>931</v>
      </c>
      <c r="C16" s="501">
        <f>TRUNC(J8/J16)</f>
        <v>56074</v>
      </c>
      <c r="D16" s="227"/>
      <c r="E16" s="245" t="s">
        <v>884</v>
      </c>
      <c r="F16" s="119">
        <f>D16*J16</f>
        <v>0</v>
      </c>
      <c r="G16" s="457">
        <f t="shared" ref="G16" si="0">IF(E16="○",F16,0)</f>
        <v>0</v>
      </c>
      <c r="H16" s="120" t="str">
        <f t="shared" ref="H16:H18" si="1">IF(C16&lt;D16,"利用資源が超過しています","")</f>
        <v/>
      </c>
      <c r="I16" s="108"/>
      <c r="J16" s="40">
        <f>TRUNC((K16/8)/(7*24),1)</f>
        <v>53.5</v>
      </c>
      <c r="K16" s="40">
        <v>72000</v>
      </c>
    </row>
    <row r="17" spans="1:11">
      <c r="A17" s="623" t="s">
        <v>1039</v>
      </c>
      <c r="B17" s="623" t="s">
        <v>907</v>
      </c>
      <c r="C17" s="290">
        <v>1000</v>
      </c>
      <c r="D17" s="624"/>
      <c r="E17" s="625" t="s">
        <v>884</v>
      </c>
      <c r="F17" s="290">
        <f>D17*J17</f>
        <v>0</v>
      </c>
      <c r="G17" s="626">
        <f>IF(E17="○",F17,0)</f>
        <v>0</v>
      </c>
      <c r="H17" s="291" t="str">
        <f t="shared" si="1"/>
        <v/>
      </c>
      <c r="I17" s="108"/>
      <c r="J17" s="40">
        <f>(K17/10)</f>
        <v>1000</v>
      </c>
      <c r="K17" s="40">
        <v>10000</v>
      </c>
    </row>
    <row r="18" spans="1:11">
      <c r="A18" s="118" t="s">
        <v>1040</v>
      </c>
      <c r="B18" s="118" t="s">
        <v>907</v>
      </c>
      <c r="C18" s="119">
        <v>100</v>
      </c>
      <c r="D18" s="627"/>
      <c r="E18" s="245"/>
      <c r="F18" s="119">
        <f>D18*J18</f>
        <v>0</v>
      </c>
      <c r="G18" s="628">
        <f>IF(E18="○",F18,0)</f>
        <v>0</v>
      </c>
      <c r="H18" s="120" t="str">
        <f t="shared" si="1"/>
        <v/>
      </c>
      <c r="I18" s="108"/>
      <c r="J18" s="40">
        <f>K18/2</f>
        <v>5000</v>
      </c>
      <c r="K18" s="40">
        <v>10000</v>
      </c>
    </row>
    <row r="19" spans="1:11">
      <c r="A19" s="629" t="s">
        <v>1041</v>
      </c>
      <c r="B19" s="630"/>
      <c r="C19" s="630"/>
      <c r="D19" s="630"/>
      <c r="E19" s="630"/>
      <c r="F19" s="630"/>
      <c r="G19" s="631"/>
      <c r="H19" s="632"/>
      <c r="I19" s="108"/>
    </row>
    <row r="20" spans="1:11" ht="30" customHeight="1">
      <c r="A20" s="183" t="s">
        <v>1042</v>
      </c>
      <c r="B20" s="118" t="s">
        <v>1043</v>
      </c>
      <c r="C20" s="119">
        <v>1</v>
      </c>
      <c r="D20" s="227"/>
      <c r="E20" s="259" t="s">
        <v>884</v>
      </c>
      <c r="F20" s="119">
        <f t="shared" ref="F20:F35" si="2">D20*J20</f>
        <v>0</v>
      </c>
      <c r="G20" s="259" t="s">
        <v>884</v>
      </c>
      <c r="H20" s="120" t="str">
        <f>IF(C20&lt;D20,"利用資源が超過しています","")</f>
        <v/>
      </c>
      <c r="I20" s="108"/>
      <c r="J20" s="40">
        <v>38400</v>
      </c>
    </row>
    <row r="21" spans="1:11">
      <c r="A21" s="118" t="s">
        <v>1044</v>
      </c>
      <c r="B21" s="118" t="s">
        <v>1045</v>
      </c>
      <c r="C21" s="119">
        <v>6</v>
      </c>
      <c r="D21" s="227"/>
      <c r="E21" s="259" t="s">
        <v>884</v>
      </c>
      <c r="F21" s="119">
        <f t="shared" si="2"/>
        <v>0</v>
      </c>
      <c r="G21" s="259" t="s">
        <v>884</v>
      </c>
      <c r="H21" s="120" t="str">
        <f t="shared" ref="H21:H23" si="3">IF(C21&lt;D21,"利用資源が超過しています","")</f>
        <v/>
      </c>
      <c r="I21" s="108"/>
      <c r="J21" s="40">
        <f>3600/2</f>
        <v>1800</v>
      </c>
    </row>
    <row r="22" spans="1:11">
      <c r="A22" s="118" t="s">
        <v>1046</v>
      </c>
      <c r="B22" s="118" t="s">
        <v>1047</v>
      </c>
      <c r="C22" s="119">
        <v>60</v>
      </c>
      <c r="D22" s="227"/>
      <c r="E22" s="259" t="s">
        <v>884</v>
      </c>
      <c r="F22" s="119">
        <f t="shared" si="2"/>
        <v>0</v>
      </c>
      <c r="G22" s="259" t="s">
        <v>884</v>
      </c>
      <c r="H22" s="120" t="str">
        <f t="shared" si="3"/>
        <v/>
      </c>
      <c r="I22" s="108"/>
      <c r="J22" s="40">
        <f>3600/4</f>
        <v>900</v>
      </c>
    </row>
    <row r="23" spans="1:11" ht="18" thickBot="1">
      <c r="A23" s="171" t="s">
        <v>1048</v>
      </c>
      <c r="B23" s="171" t="s">
        <v>1047</v>
      </c>
      <c r="C23" s="172">
        <v>900</v>
      </c>
      <c r="D23" s="228"/>
      <c r="E23" s="288" t="s">
        <v>884</v>
      </c>
      <c r="F23" s="172">
        <f t="shared" si="2"/>
        <v>0</v>
      </c>
      <c r="G23" s="288" t="s">
        <v>884</v>
      </c>
      <c r="H23" s="173" t="str">
        <f t="shared" si="3"/>
        <v/>
      </c>
      <c r="I23" s="108"/>
      <c r="J23" s="40">
        <f>7200/100</f>
        <v>72</v>
      </c>
    </row>
    <row r="24" spans="1:11" ht="30" customHeight="1" thickTop="1">
      <c r="A24" s="183" t="s">
        <v>1042</v>
      </c>
      <c r="B24" s="174" t="s">
        <v>1043</v>
      </c>
      <c r="C24" s="175">
        <v>1</v>
      </c>
      <c r="D24" s="227"/>
      <c r="E24" s="270" t="s">
        <v>884</v>
      </c>
      <c r="F24" s="175">
        <f t="shared" si="2"/>
        <v>0</v>
      </c>
      <c r="G24" s="270" t="s">
        <v>884</v>
      </c>
      <c r="H24" s="176" t="str">
        <f>IF(C24&lt;D24,"利用資源が超過しています","")</f>
        <v/>
      </c>
      <c r="I24" s="108"/>
      <c r="J24" s="40">
        <v>38400</v>
      </c>
    </row>
    <row r="25" spans="1:11">
      <c r="A25" s="118" t="s">
        <v>1044</v>
      </c>
      <c r="B25" s="118" t="s">
        <v>1049</v>
      </c>
      <c r="C25" s="119">
        <v>6</v>
      </c>
      <c r="D25" s="227"/>
      <c r="E25" s="259" t="s">
        <v>884</v>
      </c>
      <c r="F25" s="119">
        <f t="shared" si="2"/>
        <v>0</v>
      </c>
      <c r="G25" s="259" t="s">
        <v>884</v>
      </c>
      <c r="H25" s="120" t="str">
        <f t="shared" ref="H25:H27" si="4">IF(C25&lt;D25,"利用資源が超過しています","")</f>
        <v/>
      </c>
      <c r="I25" s="108"/>
      <c r="J25" s="40">
        <f>3600/2</f>
        <v>1800</v>
      </c>
    </row>
    <row r="26" spans="1:11">
      <c r="A26" s="118" t="s">
        <v>1046</v>
      </c>
      <c r="B26" s="118" t="s">
        <v>1047</v>
      </c>
      <c r="C26" s="119">
        <v>60</v>
      </c>
      <c r="D26" s="227"/>
      <c r="E26" s="259" t="s">
        <v>884</v>
      </c>
      <c r="F26" s="119">
        <f t="shared" si="2"/>
        <v>0</v>
      </c>
      <c r="G26" s="259" t="s">
        <v>884</v>
      </c>
      <c r="H26" s="120" t="str">
        <f t="shared" si="4"/>
        <v/>
      </c>
      <c r="I26" s="108"/>
      <c r="J26" s="40">
        <f>3600/4</f>
        <v>900</v>
      </c>
    </row>
    <row r="27" spans="1:11" ht="18" thickBot="1">
      <c r="A27" s="171" t="s">
        <v>1048</v>
      </c>
      <c r="B27" s="171" t="s">
        <v>1047</v>
      </c>
      <c r="C27" s="172">
        <v>900</v>
      </c>
      <c r="D27" s="228"/>
      <c r="E27" s="288" t="s">
        <v>884</v>
      </c>
      <c r="F27" s="172">
        <f t="shared" si="2"/>
        <v>0</v>
      </c>
      <c r="G27" s="288" t="s">
        <v>884</v>
      </c>
      <c r="H27" s="173" t="str">
        <f t="shared" si="4"/>
        <v/>
      </c>
      <c r="I27" s="108"/>
      <c r="J27" s="40">
        <f>7200/100</f>
        <v>72</v>
      </c>
    </row>
    <row r="28" spans="1:11" ht="30" customHeight="1" thickTop="1">
      <c r="A28" s="174" t="s">
        <v>1050</v>
      </c>
      <c r="B28" s="174" t="s">
        <v>1043</v>
      </c>
      <c r="C28" s="175">
        <v>1</v>
      </c>
      <c r="D28" s="227"/>
      <c r="E28" s="270" t="s">
        <v>884</v>
      </c>
      <c r="F28" s="175">
        <f t="shared" si="2"/>
        <v>0</v>
      </c>
      <c r="G28" s="270" t="s">
        <v>884</v>
      </c>
      <c r="H28" s="176" t="str">
        <f>IF(C28&lt;D28,"利用資源が超過しています","")</f>
        <v/>
      </c>
      <c r="I28" s="108"/>
      <c r="J28" s="40">
        <v>38400</v>
      </c>
    </row>
    <row r="29" spans="1:11">
      <c r="A29" s="118" t="s">
        <v>1044</v>
      </c>
      <c r="B29" s="118" t="s">
        <v>1049</v>
      </c>
      <c r="C29" s="119">
        <v>6</v>
      </c>
      <c r="D29" s="227"/>
      <c r="E29" s="259" t="s">
        <v>884</v>
      </c>
      <c r="F29" s="119">
        <f t="shared" si="2"/>
        <v>0</v>
      </c>
      <c r="G29" s="259" t="s">
        <v>884</v>
      </c>
      <c r="H29" s="120" t="str">
        <f t="shared" ref="H29:H31" si="5">IF(C29&lt;D29,"利用資源が超過しています","")</f>
        <v/>
      </c>
      <c r="I29" s="108"/>
      <c r="J29" s="40">
        <f>3600/2</f>
        <v>1800</v>
      </c>
    </row>
    <row r="30" spans="1:11">
      <c r="A30" s="118" t="s">
        <v>1046</v>
      </c>
      <c r="B30" s="118" t="s">
        <v>1047</v>
      </c>
      <c r="C30" s="119">
        <v>60</v>
      </c>
      <c r="D30" s="227"/>
      <c r="E30" s="259" t="s">
        <v>884</v>
      </c>
      <c r="F30" s="119">
        <f t="shared" si="2"/>
        <v>0</v>
      </c>
      <c r="G30" s="259" t="s">
        <v>884</v>
      </c>
      <c r="H30" s="120" t="str">
        <f t="shared" si="5"/>
        <v/>
      </c>
      <c r="I30" s="108"/>
      <c r="J30" s="40">
        <f>3600/4</f>
        <v>900</v>
      </c>
    </row>
    <row r="31" spans="1:11" ht="18" thickBot="1">
      <c r="A31" s="171" t="s">
        <v>1048</v>
      </c>
      <c r="B31" s="171" t="s">
        <v>1047</v>
      </c>
      <c r="C31" s="172">
        <v>900</v>
      </c>
      <c r="D31" s="228"/>
      <c r="E31" s="289" t="s">
        <v>884</v>
      </c>
      <c r="F31" s="290">
        <f t="shared" si="2"/>
        <v>0</v>
      </c>
      <c r="G31" s="289" t="s">
        <v>884</v>
      </c>
      <c r="H31" s="291" t="str">
        <f t="shared" si="5"/>
        <v/>
      </c>
      <c r="I31" s="108"/>
      <c r="J31" s="40">
        <f>7200/100</f>
        <v>72</v>
      </c>
    </row>
    <row r="32" spans="1:11" ht="30" customHeight="1" thickTop="1">
      <c r="A32" s="174" t="s">
        <v>1050</v>
      </c>
      <c r="B32" s="174" t="s">
        <v>1043</v>
      </c>
      <c r="C32" s="175">
        <v>1</v>
      </c>
      <c r="D32" s="227"/>
      <c r="E32" s="292" t="s">
        <v>884</v>
      </c>
      <c r="F32" s="293">
        <f t="shared" si="2"/>
        <v>0</v>
      </c>
      <c r="G32" s="292" t="s">
        <v>884</v>
      </c>
      <c r="H32" s="294" t="str">
        <f>IF(C32&lt;D32,"利用資源が超過しています","")</f>
        <v/>
      </c>
      <c r="I32" s="108"/>
      <c r="J32" s="40">
        <v>38400</v>
      </c>
    </row>
    <row r="33" spans="1:10">
      <c r="A33" s="118" t="s">
        <v>1044</v>
      </c>
      <c r="B33" s="118" t="s">
        <v>1049</v>
      </c>
      <c r="C33" s="119">
        <v>6</v>
      </c>
      <c r="D33" s="227"/>
      <c r="E33" s="259" t="s">
        <v>884</v>
      </c>
      <c r="F33" s="119">
        <f t="shared" si="2"/>
        <v>0</v>
      </c>
      <c r="G33" s="259" t="s">
        <v>884</v>
      </c>
      <c r="H33" s="120" t="str">
        <f t="shared" ref="H33:H35" si="6">IF(C33&lt;D33,"利用資源が超過しています","")</f>
        <v/>
      </c>
      <c r="I33" s="108"/>
      <c r="J33" s="40">
        <f>3600/2</f>
        <v>1800</v>
      </c>
    </row>
    <row r="34" spans="1:10">
      <c r="A34" s="118" t="s">
        <v>1046</v>
      </c>
      <c r="B34" s="118" t="s">
        <v>1047</v>
      </c>
      <c r="C34" s="119">
        <v>60</v>
      </c>
      <c r="D34" s="227"/>
      <c r="E34" s="259" t="s">
        <v>884</v>
      </c>
      <c r="F34" s="119">
        <f t="shared" si="2"/>
        <v>0</v>
      </c>
      <c r="G34" s="259" t="s">
        <v>884</v>
      </c>
      <c r="H34" s="120" t="str">
        <f t="shared" si="6"/>
        <v/>
      </c>
      <c r="I34" s="108"/>
      <c r="J34" s="40">
        <f>3600/4</f>
        <v>900</v>
      </c>
    </row>
    <row r="35" spans="1:10" ht="18" thickBot="1">
      <c r="A35" s="171" t="s">
        <v>1048</v>
      </c>
      <c r="B35" s="171" t="s">
        <v>1047</v>
      </c>
      <c r="C35" s="172">
        <v>900</v>
      </c>
      <c r="D35" s="228"/>
      <c r="E35" s="288" t="s">
        <v>884</v>
      </c>
      <c r="F35" s="172">
        <f t="shared" si="2"/>
        <v>0</v>
      </c>
      <c r="G35" s="288" t="s">
        <v>884</v>
      </c>
      <c r="H35" s="173" t="str">
        <f t="shared" si="6"/>
        <v/>
      </c>
      <c r="I35" s="108"/>
      <c r="J35" s="40">
        <f>7200/100</f>
        <v>72</v>
      </c>
    </row>
    <row r="36" spans="1:10" ht="18" thickTop="1">
      <c r="A36" s="108"/>
      <c r="B36" s="108"/>
      <c r="C36" s="177"/>
      <c r="D36" s="177"/>
      <c r="E36" s="177"/>
      <c r="F36" s="108"/>
      <c r="G36" s="108"/>
      <c r="H36" s="178"/>
      <c r="I36" s="108"/>
      <c r="J36" s="108"/>
    </row>
    <row r="37" spans="1:10">
      <c r="A37" s="194" t="s">
        <v>1051</v>
      </c>
      <c r="B37" s="108"/>
      <c r="C37" s="108"/>
      <c r="D37" s="108"/>
      <c r="E37" s="108"/>
      <c r="F37" s="179"/>
      <c r="G37" s="179"/>
      <c r="H37" s="108"/>
      <c r="I37" s="179"/>
      <c r="J37" s="108"/>
    </row>
    <row r="38" spans="1:10">
      <c r="A38" s="179" t="s">
        <v>1052</v>
      </c>
      <c r="B38" s="108"/>
      <c r="C38" s="179"/>
      <c r="D38" s="108"/>
      <c r="E38" s="108"/>
      <c r="F38" s="179"/>
      <c r="G38" s="179"/>
      <c r="H38" s="108"/>
      <c r="I38" s="179"/>
      <c r="J38" s="108"/>
    </row>
    <row r="39" spans="1:10">
      <c r="A39" s="179" t="s">
        <v>1053</v>
      </c>
      <c r="B39" s="108"/>
      <c r="C39" s="179"/>
      <c r="D39" s="108"/>
      <c r="E39" s="108"/>
      <c r="F39" s="179"/>
      <c r="G39" s="179"/>
      <c r="H39" s="108"/>
      <c r="I39" s="179"/>
      <c r="J39" s="108"/>
    </row>
    <row r="40" spans="1:10">
      <c r="A40" s="179" t="s">
        <v>1054</v>
      </c>
      <c r="B40" s="108"/>
      <c r="C40" s="179"/>
      <c r="D40" s="108"/>
      <c r="E40" s="108"/>
      <c r="F40" s="179"/>
      <c r="G40" s="179"/>
      <c r="H40" s="108"/>
      <c r="I40" s="179"/>
      <c r="J40" s="108"/>
    </row>
    <row r="41" spans="1:10">
      <c r="A41" s="179" t="s">
        <v>1055</v>
      </c>
      <c r="B41" s="108"/>
      <c r="C41" s="179"/>
      <c r="D41" s="108"/>
      <c r="E41" s="108"/>
      <c r="F41" s="179"/>
      <c r="G41" s="179"/>
      <c r="H41" s="108"/>
      <c r="I41" s="179"/>
      <c r="J41" s="108"/>
    </row>
    <row r="42" spans="1:10">
      <c r="A42" s="108"/>
      <c r="B42" s="108"/>
      <c r="C42" s="108"/>
      <c r="D42" s="108"/>
      <c r="E42" s="108"/>
      <c r="F42" s="179"/>
      <c r="G42" s="179"/>
      <c r="H42" s="108"/>
      <c r="I42" s="179"/>
      <c r="J42" s="108"/>
    </row>
    <row r="43" spans="1:10">
      <c r="A43" s="194" t="s">
        <v>1056</v>
      </c>
      <c r="B43" s="108"/>
      <c r="C43" s="108"/>
      <c r="D43" s="108"/>
      <c r="E43" s="108"/>
      <c r="F43" s="179"/>
      <c r="G43" s="179"/>
      <c r="H43" s="108"/>
      <c r="I43" s="179"/>
      <c r="J43" s="108"/>
    </row>
    <row r="44" spans="1:10">
      <c r="A44" s="179" t="s">
        <v>1057</v>
      </c>
      <c r="B44" s="108"/>
      <c r="C44" s="179"/>
      <c r="D44" s="108"/>
      <c r="E44" s="108"/>
      <c r="F44" s="179"/>
      <c r="G44" s="179"/>
      <c r="H44" s="108"/>
      <c r="I44" s="179"/>
      <c r="J44" s="108"/>
    </row>
    <row r="45" spans="1:10">
      <c r="A45" s="179" t="s">
        <v>1058</v>
      </c>
      <c r="B45" s="108"/>
      <c r="C45" s="179"/>
      <c r="D45" s="108"/>
      <c r="E45" s="108"/>
      <c r="F45" s="179"/>
      <c r="G45" s="179"/>
      <c r="H45" s="108"/>
      <c r="I45" s="179"/>
      <c r="J45" s="108"/>
    </row>
    <row r="46" spans="1:10">
      <c r="A46" s="179" t="s">
        <v>1059</v>
      </c>
      <c r="B46" s="108"/>
      <c r="C46" s="179"/>
      <c r="D46" s="108"/>
      <c r="E46" s="108"/>
      <c r="F46" s="179"/>
      <c r="G46" s="179"/>
      <c r="H46" s="108"/>
      <c r="I46" s="179"/>
      <c r="J46" s="108"/>
    </row>
    <row r="47" spans="1:10">
      <c r="A47" s="179" t="s">
        <v>1060</v>
      </c>
      <c r="B47" s="108"/>
      <c r="C47" s="179"/>
      <c r="D47" s="108"/>
      <c r="E47" s="108"/>
      <c r="F47" s="179"/>
      <c r="G47" s="179"/>
      <c r="H47" s="108"/>
      <c r="I47" s="179"/>
      <c r="J47" s="108"/>
    </row>
    <row r="48" spans="1:10">
      <c r="A48" s="40" t="s">
        <v>1061</v>
      </c>
    </row>
    <row r="49" spans="1:1">
      <c r="A49" s="40" t="s">
        <v>1062</v>
      </c>
    </row>
  </sheetData>
  <sheetProtection algorithmName="SHA-512" hashValue="d63QHmzTAFvTvopQTCNrnvKDY3j8qNrqXJQWikjiB/mzDaDaW51D11AKZ/kTy+L3VEwjPJrk8hwy5b8S7yVnvA==" saltValue="EzmLRtLP/m0suDdaMxFHAA==" spinCount="100000" sheet="1" objects="1" scenarios="1"/>
  <phoneticPr fontId="1"/>
  <conditionalFormatting sqref="B8">
    <cfRule type="expression" dxfId="3" priority="2">
      <formula>B8&gt;#REF!</formula>
    </cfRule>
  </conditionalFormatting>
  <conditionalFormatting sqref="D15:D18">
    <cfRule type="expression" dxfId="2" priority="1">
      <formula>D15&gt;C16</formula>
    </cfRule>
  </conditionalFormatting>
  <dataValidations count="9">
    <dataValidation type="custom" errorStyle="warning" allowBlank="1" showInputMessage="1" showErrorMessage="1" error="高速ストレージは2TB単位で追加可能です。_x000a_2の倍数を記入してください。" prompt="高速ストレージは2TB単位で追加可能です。_x000a_2の倍数を記入してください。" sqref="D18" xr:uid="{080DDBBF-8192-3348-BC16-FE752D33DB39}">
      <formula1>(MOD(D18,2)=0)</formula1>
    </dataValidation>
    <dataValidation type="whole" operator="greaterThanOrEqual" allowBlank="1" showInputMessage="1" showErrorMessage="1" prompt="整数にて入力ください" sqref="D15:D16" xr:uid="{8CFE6781-FA47-954C-A1AC-9630A3EFF8F9}">
      <formula1>0</formula1>
    </dataValidation>
    <dataValidation type="whole" allowBlank="1" showInputMessage="1" showErrorMessage="1" error="仮想サーバをご利用の場合、1を入力してください。_x000a_" prompt="仮想サーバをご利用の場合、1を入力してください。" sqref="D32 D24 D28" xr:uid="{0532E34C-465C-004A-95B5-5264C9C77ADF}">
      <formula1>0</formula1>
      <formula2>1</formula2>
    </dataValidation>
    <dataValidation type="list" showInputMessage="1" showErrorMessage="1" sqref="E15:E18" xr:uid="{470AEE2B-162B-EC4E-A43E-1792A1C86494}">
      <formula1>"○,　,"</formula1>
    </dataValidation>
    <dataValidation type="custom" errorStyle="warning" allowBlank="1" showInputMessage="1" showErrorMessage="1" error="ストレージは10TB単位で追加可能です。_x000a_10の倍数を記入してください。" prompt="ストレージは10TB単位で追加可能です。_x000a_10の倍数を記入してください。" sqref="D17" xr:uid="{68DFAB90-EFD5-E24E-9EB3-3419C1D06BD0}">
      <formula1>(MOD(D17,10)=0)</formula1>
    </dataValidation>
    <dataValidation type="custom" errorStyle="warning" allowBlank="1" showInputMessage="1" showErrorMessage="1" error="CPUは2コア単位で追加可能です。_x000a_2の倍数を入力してください。" prompt="CPUは2コア単位で追加可能です。_x000a_2の倍数を入力してください。" sqref="D25 D29 D21 D33" xr:uid="{CC2F8EE6-8E72-4345-9A35-3C9AA189B6C1}">
      <formula1>(MOD(D21,2)=0)</formula1>
    </dataValidation>
    <dataValidation type="custom" errorStyle="warning" allowBlank="1" showInputMessage="1" showErrorMessage="1" error="メモリの増量は4GB単位で可能です。_x000a_4の倍数を入力してください。" prompt="メモリの増量は4GB単位で可能です。_x000a_4の倍数を入力してください。" sqref="D26 D30 D34 D22" xr:uid="{5FB2BC79-9A31-714F-9FEA-DDBC04FE1801}">
      <formula1>(MOD(D22,4)=0)</formula1>
    </dataValidation>
    <dataValidation type="custom" errorStyle="warning" allowBlank="1" showInputMessage="1" showErrorMessage="1" error="ディスクは100GB単位で追加可能です。_x000a_100の倍数を入力してください。" prompt="ディスクは100GB単位で追加可能です。_x000a_100の倍数を入力してください。" sqref="D27 D31 D35 D23" xr:uid="{7A607E8F-2E76-EB4B-A324-32862FFE8B4C}">
      <formula1>(MOD(D23,100)=0)</formula1>
    </dataValidation>
    <dataValidation type="whole" errorStyle="warning" allowBlank="1" showInputMessage="1" showErrorMessage="1" error="仮想サーバをご利用の場合、1を入力してください。_x000a_複数の仮想サーバをご利用の場合、21行目以降に適宜入力してください。" prompt="仮想サーバをご利用の場合、1を入力してください。_x000a_複数の仮想サーバをご利用の場合、21行目以降に適宜入力してください。" sqref="D20" xr:uid="{534E9098-C72E-3F43-8FE4-D2D2F8B634CE}">
      <formula1>0</formula1>
      <formula2>1</formula2>
    </dataValidation>
  </dataValidations>
  <pageMargins left="0.7" right="0.7" top="0.75" bottom="0.75" header="0.3" footer="0.3"/>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04C51-AAB9-2844-9648-9BEFBEE31F8B}">
  <dimension ref="A1:J27"/>
  <sheetViews>
    <sheetView zoomScale="80" zoomScaleNormal="80" workbookViewId="0">
      <selection activeCell="H17" sqref="H17"/>
    </sheetView>
  </sheetViews>
  <sheetFormatPr defaultColWidth="8.875" defaultRowHeight="17.649999999999999"/>
  <cols>
    <col min="1" max="1" width="61.125" customWidth="1"/>
    <col min="2" max="2" width="36.375" customWidth="1"/>
    <col min="3" max="3" width="22.625" customWidth="1"/>
    <col min="4" max="5" width="15.625" customWidth="1"/>
    <col min="6" max="7" width="21.875" customWidth="1"/>
    <col min="8" max="8" width="54.625" customWidth="1"/>
    <col min="9" max="9" width="9" hidden="1" customWidth="1"/>
    <col min="10" max="10" width="9.875" hidden="1" customWidth="1"/>
    <col min="11" max="12" width="9" customWidth="1"/>
  </cols>
  <sheetData>
    <row r="1" spans="1:10" ht="19.899999999999999">
      <c r="A1" s="62" t="s">
        <v>1063</v>
      </c>
      <c r="B1" s="53"/>
      <c r="C1" s="53"/>
      <c r="D1" s="439" t="s">
        <v>36</v>
      </c>
      <c r="E1" s="53"/>
      <c r="F1" s="53"/>
      <c r="G1" s="53"/>
      <c r="H1" s="53"/>
      <c r="I1" s="53"/>
      <c r="J1" s="53"/>
    </row>
    <row r="2" spans="1:10">
      <c r="A2" s="53"/>
      <c r="B2" s="53"/>
      <c r="C2" s="53"/>
      <c r="D2" s="53"/>
      <c r="E2" s="53"/>
      <c r="F2" s="53"/>
      <c r="G2" s="53"/>
      <c r="H2" s="53"/>
      <c r="I2" s="53"/>
      <c r="J2" s="53"/>
    </row>
    <row r="3" spans="1:10">
      <c r="A3" s="53" t="s">
        <v>859</v>
      </c>
      <c r="B3" s="53"/>
      <c r="C3" s="53"/>
      <c r="D3" s="53"/>
      <c r="E3" s="53"/>
      <c r="F3" s="53"/>
      <c r="G3" s="53"/>
      <c r="H3" s="53"/>
      <c r="I3" s="53"/>
      <c r="J3" s="53"/>
    </row>
    <row r="4" spans="1:10">
      <c r="A4" s="52"/>
      <c r="B4" s="50" t="s">
        <v>919</v>
      </c>
      <c r="C4" s="50" t="s">
        <v>861</v>
      </c>
    </row>
    <row r="5" spans="1:10" ht="19.899999999999999">
      <c r="A5" s="63" t="s">
        <v>862</v>
      </c>
      <c r="B5" s="115">
        <f>ROUNDUP(SUM(F14:F22),0)</f>
        <v>0</v>
      </c>
      <c r="C5" s="47"/>
      <c r="J5" s="41"/>
    </row>
    <row r="6" spans="1:10" ht="19.899999999999999">
      <c r="A6" s="620" t="s">
        <v>920</v>
      </c>
      <c r="B6" s="602">
        <f>ROUNDUP(SUM(G14:G22),0)</f>
        <v>0</v>
      </c>
      <c r="C6" s="603"/>
      <c r="D6" s="1" t="s">
        <v>864</v>
      </c>
      <c r="E6" s="28"/>
      <c r="J6" s="41"/>
    </row>
    <row r="7" spans="1:10" ht="19.899999999999999">
      <c r="A7" s="63" t="s">
        <v>865</v>
      </c>
      <c r="B7" s="116">
        <v>0</v>
      </c>
      <c r="C7" s="48"/>
      <c r="I7" s="42" t="s">
        <v>921</v>
      </c>
    </row>
    <row r="8" spans="1:10" ht="19.899999999999999">
      <c r="A8" s="54" t="s">
        <v>867</v>
      </c>
      <c r="B8" s="86">
        <f>B5+B7</f>
        <v>0</v>
      </c>
      <c r="C8" s="47" t="str">
        <f>IF(B8&gt;$J$8,TEXT($J$8,"#,###")&amp;"円を超過しています/Excessing "&amp;TEXT($J$8,"#,###")&amp;"JPY","")</f>
        <v/>
      </c>
      <c r="H8" s="53" t="str">
        <f>"※1拠点あたりの利用資源料上限額は "&amp;TEXT($J$8,"#,###")&amp;"円"</f>
        <v>※1拠点あたりの利用資源料上限額は 3,000,000円</v>
      </c>
      <c r="J8" s="87">
        <v>3000000</v>
      </c>
    </row>
    <row r="9" spans="1:10">
      <c r="A9" s="50" t="s">
        <v>868</v>
      </c>
      <c r="B9" s="50"/>
      <c r="C9" s="49" t="str">
        <f>IF((COUNTBLANK(C8)+COUNTBLANK(H14:H22))&lt;(1+ROWS(H14:H22)),"資源超過などが発生しています/Problems are present","")</f>
        <v/>
      </c>
      <c r="H9" s="53" t="str">
        <f>"Note: Maximum resource fee per one center is "&amp;TEXT(J8,"#,###")&amp;"JPY"</f>
        <v>Note: Maximum resource fee per one center is 3,000,000JPY</v>
      </c>
    </row>
    <row r="10" spans="1:10">
      <c r="A10" s="26"/>
      <c r="B10" s="26"/>
      <c r="C10" s="26"/>
      <c r="D10" s="44" t="s">
        <v>1064</v>
      </c>
      <c r="E10" s="44"/>
      <c r="F10" s="304"/>
      <c r="G10" s="304"/>
      <c r="H10" s="26"/>
      <c r="I10" s="26"/>
      <c r="J10" s="26"/>
    </row>
    <row r="11" spans="1:10">
      <c r="A11" s="53" t="s">
        <v>922</v>
      </c>
      <c r="D11" s="44" t="s">
        <v>1065</v>
      </c>
      <c r="E11" s="44"/>
      <c r="F11" s="304"/>
      <c r="G11" s="304"/>
    </row>
    <row r="12" spans="1:10" ht="18" thickBot="1">
      <c r="A12" s="53"/>
      <c r="E12" s="44" t="s">
        <v>871</v>
      </c>
      <c r="F12" s="304"/>
      <c r="G12" s="304"/>
    </row>
    <row r="13" spans="1:10" ht="49.9" thickBot="1">
      <c r="A13" s="164" t="s">
        <v>872</v>
      </c>
      <c r="B13" s="165" t="s">
        <v>873</v>
      </c>
      <c r="C13" s="184" t="s">
        <v>923</v>
      </c>
      <c r="D13" s="165" t="s">
        <v>924</v>
      </c>
      <c r="E13" s="617" t="s">
        <v>876</v>
      </c>
      <c r="F13" s="618" t="s">
        <v>878</v>
      </c>
      <c r="G13" s="619" t="s">
        <v>879</v>
      </c>
      <c r="H13" s="167" t="s">
        <v>861</v>
      </c>
      <c r="J13" t="s">
        <v>880</v>
      </c>
    </row>
    <row r="14" spans="1:10" ht="32.25" customHeight="1" thickBot="1">
      <c r="A14" s="198" t="s">
        <v>979</v>
      </c>
      <c r="B14" s="76"/>
      <c r="C14" s="448"/>
      <c r="D14" s="449"/>
      <c r="E14" s="281"/>
      <c r="F14" s="159"/>
      <c r="G14" s="279"/>
      <c r="H14" s="160" t="str">
        <f>IF(AND($B$8&lt;&gt;0,COUNTA($D$14)=0),"九州大学の資源を申請する場合は「申請する」を選択してください / Select [Apply], if you apply Kyushu University's HPCI resources.","")</f>
        <v/>
      </c>
    </row>
    <row r="15" spans="1:10" ht="66.400000000000006" thickBot="1">
      <c r="A15" s="45" t="s">
        <v>1066</v>
      </c>
      <c r="B15" s="57" t="s">
        <v>1067</v>
      </c>
      <c r="C15" s="185">
        <v>12</v>
      </c>
      <c r="D15" s="233"/>
      <c r="E15" s="282"/>
      <c r="F15" s="159">
        <f>ROUNDUP(D15*J15,2)</f>
        <v>0</v>
      </c>
      <c r="G15" s="280"/>
      <c r="H15" s="160" t="str">
        <f>IF($D15&gt;$C15,"利用資源が超過しています/Desired resource exceeds the limit","")&amp;IF(AND(COUNTA($D$14)&gt;0,COUNTA($D15)=0),"利用期間[月数]を入力してください/Input the Use Term[months]","")</f>
        <v/>
      </c>
      <c r="J15" s="82">
        <v>130</v>
      </c>
    </row>
    <row r="16" spans="1:10" ht="18" thickBot="1">
      <c r="A16" s="57" t="s">
        <v>1068</v>
      </c>
      <c r="B16" s="76"/>
      <c r="C16" s="187"/>
      <c r="D16" s="450"/>
      <c r="E16" s="278"/>
      <c r="F16" s="162"/>
      <c r="G16" s="162"/>
      <c r="H16" s="75"/>
      <c r="J16" s="82"/>
    </row>
    <row r="17" spans="1:10" ht="33.4" thickBot="1">
      <c r="A17" s="45" t="s">
        <v>1069</v>
      </c>
      <c r="B17" s="57" t="s">
        <v>1070</v>
      </c>
      <c r="C17" s="451">
        <v>8</v>
      </c>
      <c r="D17" s="233"/>
      <c r="E17" s="269" t="s">
        <v>884</v>
      </c>
      <c r="F17" s="161">
        <f>ROUNDUP($D$15*$D17*J17,2)</f>
        <v>0</v>
      </c>
      <c r="G17" s="161">
        <f>IF(E17="○",F17,0)</f>
        <v>0</v>
      </c>
      <c r="H17" s="168" t="str">
        <f>IF($D17&gt;$C17,"利用資源が超過しています/Desired resource exceeds the limit","")&amp;IF(AND(E17="○",D17&lt;1),"利用量が空です。優先確保資源のチェックを外してください。 / Requested quantity is empty. Please uncheck High priority resouce.","")&amp;IF(AND(D15=0,D17&lt;&gt;0),"九州大学の資源を申請する場合は「申請する」を選択してください / Select [Apply], if you apply Kyushu University's HPCI resources.","")</f>
        <v/>
      </c>
      <c r="J17" s="82">
        <v>18000</v>
      </c>
    </row>
    <row r="18" spans="1:10" ht="33.4" thickBot="1">
      <c r="A18" s="45" t="s">
        <v>1071</v>
      </c>
      <c r="B18" s="45" t="s">
        <v>1072</v>
      </c>
      <c r="C18" s="452">
        <v>16000</v>
      </c>
      <c r="D18" s="453"/>
      <c r="E18" s="454"/>
      <c r="F18" s="161">
        <f>ROUNDUP($D18*J18,2)</f>
        <v>0</v>
      </c>
      <c r="G18" s="161">
        <f>IF(E18="○",F18,0)</f>
        <v>0</v>
      </c>
      <c r="H18" s="168" t="str">
        <f>IF($D18&gt;$C18,"利用資源が超過しています/Desired resource exceeds the limit","")&amp;IF(AND(E18="○",D18&lt;1),"利用量が空です。優先確保資源のチェックを外してください。 / Requested quantity is empty. Please uncheck High priority resouce.","")</f>
        <v/>
      </c>
      <c r="J18" s="82">
        <v>30</v>
      </c>
    </row>
    <row r="19" spans="1:10" ht="18" thickBot="1">
      <c r="A19" s="45" t="s">
        <v>1073</v>
      </c>
      <c r="B19" s="76"/>
      <c r="C19" s="187"/>
      <c r="D19" s="450"/>
      <c r="E19" s="77"/>
      <c r="F19" s="162"/>
      <c r="G19" s="162"/>
      <c r="H19" s="75"/>
      <c r="J19" s="82"/>
    </row>
    <row r="20" spans="1:10" ht="33.4" thickBot="1">
      <c r="A20" s="45" t="s">
        <v>1074</v>
      </c>
      <c r="B20" s="45" t="s">
        <v>1072</v>
      </c>
      <c r="C20" s="452">
        <v>4000</v>
      </c>
      <c r="D20" s="233"/>
      <c r="E20" s="269"/>
      <c r="F20" s="161">
        <f>ROUNDUP($D20*J20,2)</f>
        <v>0</v>
      </c>
      <c r="G20" s="161">
        <f>IF(E20="○",F20,0)</f>
        <v>0</v>
      </c>
      <c r="H20" s="168" t="str">
        <f t="shared" ref="H20" si="0">IF($D20&gt;$C20,"利用資源が超過しています/Desired resource exceeds the limit","")&amp;IF(AND(E20="○",D20&lt;1),"利用量が空です。優先確保資源のチェックを外してください。 / Requested quantity is empty. Please uncheck High priority resouce.","")</f>
        <v/>
      </c>
      <c r="J20" s="82">
        <v>120</v>
      </c>
    </row>
    <row r="21" spans="1:10" ht="33.4" thickBot="1">
      <c r="A21" s="45" t="s">
        <v>1075</v>
      </c>
      <c r="B21" s="57" t="s">
        <v>907</v>
      </c>
      <c r="C21" s="186">
        <v>100</v>
      </c>
      <c r="D21" s="233"/>
      <c r="E21" s="269"/>
      <c r="F21" s="161">
        <f>ROUNDUP($D$15*$D21*J21,2)</f>
        <v>0</v>
      </c>
      <c r="G21" s="161">
        <f>IF(E21="○",F21,0)</f>
        <v>0</v>
      </c>
      <c r="H21" s="168" t="str">
        <f>IF($D21&gt;$C21,"利用資源が超過しています/Desired resource exceeds the limit","")&amp;IF(AND(E21="○",D21&lt;1),"利用量が空です。優先確保資源のチェックを外してください。 / Requested quantity is empty. Please uncheck High priority resource.","")&amp;IF(AND($D$15=0,D21&lt;&gt;0),"九州大学の資源を申請する場合は「申請する」を選択してください / Select [Apply], if you apply Kyushu University's HPCI resources.","")</f>
        <v/>
      </c>
      <c r="J21" s="82">
        <v>130</v>
      </c>
    </row>
    <row r="22" spans="1:10" ht="33.4" thickBot="1">
      <c r="A22" s="45" t="s">
        <v>1076</v>
      </c>
      <c r="B22" s="57" t="s">
        <v>907</v>
      </c>
      <c r="C22" s="186">
        <v>10</v>
      </c>
      <c r="D22" s="233"/>
      <c r="E22" s="269"/>
      <c r="F22" s="161">
        <f>ROUNDUP($D$15*$D22*J22,2)</f>
        <v>0</v>
      </c>
      <c r="G22" s="161">
        <f>IF(E22="○",F22,0)</f>
        <v>0</v>
      </c>
      <c r="H22" s="168" t="str">
        <f>IF($D22&gt;$C22,"利用資源が超過しています/Desired resource exceeds the limit","")&amp;IF(AND(E22="○",D22&lt;1),"利用量が空です。優先確保資源のチェックを外してください。 / Requested quantity is empty. Please uncheck High priority resource.","")&amp;IF(AND($D$15=0,D22&lt;&gt;0),"九州大学の資源を申請する場合は「申請する」を選択してください / Select [Apply], if you apply Kyushu University's HPCI resources.","")</f>
        <v/>
      </c>
      <c r="J22" s="82">
        <v>420</v>
      </c>
    </row>
    <row r="23" spans="1:10">
      <c r="A23" s="26"/>
      <c r="B23" s="26"/>
      <c r="C23" s="26"/>
      <c r="D23" s="26"/>
      <c r="E23" s="26"/>
      <c r="F23" s="26"/>
      <c r="G23" s="26"/>
      <c r="H23" s="26"/>
    </row>
    <row r="24" spans="1:10">
      <c r="A24" s="26"/>
      <c r="B24" s="26"/>
      <c r="C24" s="26"/>
      <c r="D24" s="26"/>
      <c r="E24" s="26"/>
      <c r="F24" s="26"/>
      <c r="G24" s="26"/>
      <c r="H24" s="26"/>
      <c r="I24" s="26"/>
      <c r="J24" s="26"/>
    </row>
    <row r="25" spans="1:10">
      <c r="A25" s="25"/>
      <c r="B25" s="26"/>
      <c r="C25" s="26"/>
      <c r="D25" s="26"/>
      <c r="E25" s="26"/>
      <c r="F25" s="26"/>
      <c r="G25" s="26"/>
      <c r="H25" s="26"/>
      <c r="I25" s="26"/>
      <c r="J25" s="26"/>
    </row>
    <row r="26" spans="1:10">
      <c r="A26" s="26"/>
      <c r="B26" s="26"/>
      <c r="C26" s="26"/>
      <c r="D26" s="26"/>
      <c r="E26" s="26"/>
      <c r="F26" s="26"/>
      <c r="G26" s="26"/>
      <c r="H26" s="26"/>
      <c r="I26" s="26"/>
      <c r="J26" s="26"/>
    </row>
    <row r="27" spans="1:10">
      <c r="A27" s="26"/>
      <c r="B27" s="26"/>
      <c r="C27" s="26"/>
      <c r="D27" s="26"/>
      <c r="E27" s="26"/>
      <c r="F27" s="26"/>
      <c r="G27" s="26"/>
      <c r="H27" s="26"/>
      <c r="I27" s="26"/>
      <c r="J27" s="26"/>
    </row>
  </sheetData>
  <sheetProtection algorithmName="SHA-512" hashValue="ls1KTqFxN2oaIBgrCxq3rbgAm4m46oQ7dFoIxEq3lLVpZuPLU2VIXw1+HBRrk12JqHmWKOlQ/ISIHuQLP29GkQ==" saltValue="dTNTJQkukSuop6dZNE2QWA==" spinCount="100000" sheet="1" objects="1" scenarios="1"/>
  <phoneticPr fontId="1"/>
  <conditionalFormatting sqref="B8">
    <cfRule type="expression" dxfId="1" priority="3">
      <formula>B8&gt;#REF!</formula>
    </cfRule>
  </conditionalFormatting>
  <dataValidations count="9">
    <dataValidation type="list" allowBlank="1" showInputMessage="1" showErrorMessage="1" promptTitle="必須入力/Required Input" prompt="プルダウンから選んでください/Selevt from pull-down menue" sqref="D17" xr:uid="{5A93F1DE-2924-6A4B-B3A4-99E1778E09A7}">
      <formula1>"0,1,2,3,4,5,6,7,8"</formula1>
    </dataValidation>
    <dataValidation type="list" allowBlank="1" showInputMessage="1" showErrorMessage="1" sqref="D17" xr:uid="{163AB37F-6F47-AF4A-8A24-374186396ADD}">
      <formula1>"0,1,2,3,4,5,6,7,8"</formula1>
    </dataValidation>
    <dataValidation type="list" allowBlank="1" showInputMessage="1" showErrorMessage="1" sqref="D18" xr:uid="{478FB544-CD77-5545-B115-A18CC8A07F05}">
      <formula1>"0,1000,2000,3000,4000,5000,6000,7000,8000,9000,10000,11000,12000,13000,14000,15000,16000"</formula1>
    </dataValidation>
    <dataValidation type="list" allowBlank="1" showInputMessage="1" showErrorMessage="1" sqref="D21" xr:uid="{3FF2885B-4852-9040-AC8E-9507D41968E5}">
      <formula1>"0,10,20,30,40,50,60,70,80,90,100"</formula1>
    </dataValidation>
    <dataValidation type="list" showInputMessage="1" showErrorMessage="1" promptTitle="必須入力/Required Input" prompt="プルダウンから選んでください。/Select from pull-down menu." sqref="D14" xr:uid="{D7B65A6C-4CB8-134D-916D-3EDFF3336BA4}">
      <formula1>"申請する/Apply"</formula1>
    </dataValidation>
    <dataValidation type="list" showInputMessage="1" showErrorMessage="1" sqref="E17:E18 E20:E22" xr:uid="{9458890C-7443-F942-8123-D397A92438FA}">
      <formula1>"○,　,"</formula1>
    </dataValidation>
    <dataValidation type="list" allowBlank="1" showInputMessage="1" showErrorMessage="1" sqref="D22" xr:uid="{16F0DF89-C40D-B342-A3C1-C71B35736523}">
      <formula1>"0,1,2,3,4,5,6,7,8,9,10"</formula1>
    </dataValidation>
    <dataValidation type="list" allowBlank="1" showInputMessage="1" showErrorMessage="1" sqref="D20" xr:uid="{B7A2E40A-6CEB-DA40-943D-37D456158710}">
      <formula1>"0,1000,2000,3000,4000"</formula1>
    </dataValidation>
    <dataValidation type="list" allowBlank="1" showInputMessage="1" showErrorMessage="1" promptTitle="必須入力/Required Input" prompt="プルダウンから選んでください。/Select from pull-down menu." sqref="D15" xr:uid="{D70241F5-6577-5745-9F5A-1B09A4234427}">
      <formula1>"1,2,3,4,5,6,7,8,9,10,11,12"</formula1>
    </dataValidation>
  </dataValidations>
  <pageMargins left="0.7" right="0.7" top="0.75" bottom="0.75" header="0.3" footer="0.3"/>
  <pageSetup paperSize="9" orientation="portrait" copies="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97B00-D503-48D9-87D8-60C54A117F0D}">
  <dimension ref="A1:H32"/>
  <sheetViews>
    <sheetView workbookViewId="0">
      <selection activeCell="C19" sqref="C19"/>
    </sheetView>
  </sheetViews>
  <sheetFormatPr defaultColWidth="8.625" defaultRowHeight="17.649999999999999"/>
  <cols>
    <col min="1" max="1" width="46.125" customWidth="1"/>
    <col min="2" max="2" width="35.125" customWidth="1"/>
    <col min="3" max="3" width="28.625" customWidth="1"/>
    <col min="4" max="4" width="9" customWidth="1"/>
    <col min="6" max="7" width="9" customWidth="1"/>
  </cols>
  <sheetData>
    <row r="1" spans="1:8">
      <c r="A1" s="53" t="s">
        <v>1077</v>
      </c>
      <c r="B1" s="53"/>
      <c r="D1" s="438" t="s">
        <v>36</v>
      </c>
      <c r="E1" s="53"/>
      <c r="F1" s="53"/>
      <c r="G1" s="53"/>
      <c r="H1" s="53"/>
    </row>
    <row r="2" spans="1:8">
      <c r="A2" s="53"/>
      <c r="B2" s="53"/>
      <c r="C2" s="53"/>
      <c r="D2" s="53"/>
      <c r="E2" s="53"/>
      <c r="F2" s="53"/>
      <c r="G2" s="53"/>
      <c r="H2" s="53"/>
    </row>
    <row r="3" spans="1:8">
      <c r="A3" s="53" t="s">
        <v>859</v>
      </c>
      <c r="B3" s="53"/>
      <c r="C3" s="53"/>
      <c r="D3" s="53"/>
      <c r="E3" s="53"/>
      <c r="F3" s="53"/>
      <c r="G3" s="53"/>
      <c r="H3" s="53"/>
    </row>
    <row r="4" spans="1:8">
      <c r="A4" s="52"/>
      <c r="B4" s="50" t="s">
        <v>919</v>
      </c>
      <c r="C4" s="50" t="s">
        <v>861</v>
      </c>
    </row>
    <row r="5" spans="1:8" ht="19.899999999999999">
      <c r="A5" s="51" t="s">
        <v>1078</v>
      </c>
      <c r="B5" s="169"/>
      <c r="C5" s="170"/>
      <c r="G5" s="40"/>
      <c r="H5" s="41"/>
    </row>
    <row r="6" spans="1:8" ht="19.899999999999999">
      <c r="A6" s="51" t="s">
        <v>1079</v>
      </c>
      <c r="B6" s="137">
        <f>IF(C12&lt;&gt;"利用しない / Not Use",1000000,0)</f>
        <v>0</v>
      </c>
      <c r="C6" s="48"/>
      <c r="G6" s="42"/>
      <c r="H6" s="40"/>
    </row>
    <row r="7" spans="1:8" ht="19.899999999999999">
      <c r="A7" s="54" t="s">
        <v>867</v>
      </c>
      <c r="B7" s="495">
        <f>B5+B6</f>
        <v>0</v>
      </c>
      <c r="C7" s="47"/>
      <c r="E7" s="53"/>
      <c r="G7" s="40"/>
      <c r="H7" s="365"/>
    </row>
    <row r="8" spans="1:8">
      <c r="A8" s="46" t="s">
        <v>868</v>
      </c>
      <c r="B8" s="46"/>
      <c r="C8" s="49"/>
      <c r="G8" s="40"/>
      <c r="H8" s="40"/>
    </row>
    <row r="9" spans="1:8">
      <c r="A9" s="26"/>
      <c r="B9" s="26"/>
      <c r="C9" s="496"/>
      <c r="D9" s="27"/>
      <c r="E9" s="26"/>
      <c r="F9" s="26"/>
      <c r="G9" s="26"/>
      <c r="H9" s="26"/>
    </row>
    <row r="10" spans="1:8">
      <c r="A10" s="53" t="s">
        <v>922</v>
      </c>
      <c r="B10" s="26"/>
      <c r="C10" s="497" t="s">
        <v>1080</v>
      </c>
      <c r="D10" s="27"/>
      <c r="E10" s="26"/>
      <c r="F10" s="26"/>
      <c r="G10" s="26"/>
      <c r="H10" s="26"/>
    </row>
    <row r="11" spans="1:8" ht="18" thickBot="1">
      <c r="A11" s="498"/>
      <c r="B11" s="26"/>
      <c r="C11" s="497" t="s">
        <v>1081</v>
      </c>
      <c r="D11" s="27"/>
      <c r="E11" s="26"/>
      <c r="F11" s="26"/>
      <c r="G11" s="26"/>
      <c r="H11" s="26"/>
    </row>
    <row r="12" spans="1:8" ht="18" thickBot="1">
      <c r="A12" s="26"/>
      <c r="B12" s="26"/>
      <c r="C12" s="499" t="s">
        <v>1082</v>
      </c>
      <c r="D12" s="27"/>
      <c r="E12" s="26"/>
      <c r="F12" s="26"/>
      <c r="G12" s="26"/>
      <c r="H12" s="26"/>
    </row>
    <row r="13" spans="1:8">
      <c r="A13" s="26"/>
      <c r="B13" s="26"/>
      <c r="C13" s="26"/>
      <c r="D13" s="26"/>
      <c r="E13" s="26"/>
      <c r="F13" s="26"/>
      <c r="G13" s="26"/>
      <c r="H13" s="26"/>
    </row>
    <row r="14" spans="1:8">
      <c r="A14" s="26"/>
      <c r="B14" s="26"/>
      <c r="C14" s="26"/>
      <c r="D14" s="26"/>
      <c r="E14" s="26"/>
      <c r="F14" s="26"/>
      <c r="G14" s="26"/>
      <c r="H14" s="26"/>
    </row>
    <row r="15" spans="1:8">
      <c r="A15" s="26"/>
      <c r="B15" s="26"/>
      <c r="C15" s="26"/>
      <c r="D15" s="26"/>
      <c r="E15" s="26"/>
      <c r="F15" s="26"/>
      <c r="G15" s="26"/>
      <c r="H15" s="26"/>
    </row>
    <row r="16" spans="1:8">
      <c r="A16" s="26"/>
      <c r="B16" s="26"/>
      <c r="C16" s="26"/>
      <c r="D16" s="26"/>
      <c r="E16" s="26"/>
      <c r="F16" s="26"/>
      <c r="G16" s="26"/>
      <c r="H16" s="26"/>
    </row>
    <row r="17" spans="1:8">
      <c r="A17" s="26"/>
      <c r="B17" s="26"/>
      <c r="C17" s="26"/>
      <c r="D17" s="26"/>
      <c r="E17" s="26"/>
      <c r="F17" s="26"/>
      <c r="G17" s="26"/>
      <c r="H17" s="26"/>
    </row>
    <row r="18" spans="1:8">
      <c r="A18" s="26"/>
      <c r="B18" s="26"/>
      <c r="C18" s="26"/>
      <c r="D18" s="26"/>
      <c r="E18" s="26"/>
      <c r="F18" s="26"/>
      <c r="G18" s="26"/>
      <c r="H18" s="26"/>
    </row>
    <row r="19" spans="1:8">
      <c r="A19" s="26"/>
      <c r="B19" s="26"/>
      <c r="C19" s="26"/>
      <c r="D19" s="26"/>
      <c r="E19" s="26"/>
      <c r="F19" s="26"/>
      <c r="G19" s="26"/>
      <c r="H19" s="26"/>
    </row>
    <row r="20" spans="1:8">
      <c r="A20" s="26"/>
      <c r="B20" s="26"/>
      <c r="C20" s="26"/>
      <c r="D20" s="26"/>
      <c r="E20" s="26"/>
      <c r="F20" s="26"/>
      <c r="G20" s="26"/>
      <c r="H20" s="26"/>
    </row>
    <row r="21" spans="1:8">
      <c r="A21" s="26"/>
      <c r="B21" s="26"/>
      <c r="C21" s="26"/>
      <c r="D21" s="26"/>
      <c r="E21" s="26"/>
      <c r="F21" s="26"/>
      <c r="G21" s="26"/>
      <c r="H21" s="26"/>
    </row>
    <row r="22" spans="1:8">
      <c r="A22" s="25"/>
      <c r="B22" s="26"/>
      <c r="C22" s="26"/>
      <c r="D22" s="26"/>
      <c r="E22" s="26"/>
      <c r="F22" s="26"/>
      <c r="G22" s="26"/>
      <c r="H22" s="26"/>
    </row>
    <row r="23" spans="1:8">
      <c r="A23" s="26"/>
      <c r="B23" s="26"/>
      <c r="C23" s="26"/>
      <c r="D23" s="26"/>
      <c r="E23" s="26"/>
      <c r="F23" s="26"/>
      <c r="G23" s="26"/>
      <c r="H23" s="26"/>
    </row>
    <row r="24" spans="1:8">
      <c r="A24" s="26"/>
      <c r="B24" s="26"/>
      <c r="C24" s="26"/>
      <c r="D24" s="26"/>
      <c r="E24" s="26"/>
      <c r="F24" s="26"/>
      <c r="G24" s="26"/>
      <c r="H24" s="26"/>
    </row>
    <row r="25" spans="1:8">
      <c r="A25" s="26"/>
      <c r="B25" s="26"/>
      <c r="C25" s="26"/>
      <c r="D25" s="26"/>
      <c r="E25" s="26"/>
      <c r="F25" s="26"/>
      <c r="G25" s="26"/>
      <c r="H25" s="26"/>
    </row>
    <row r="26" spans="1:8">
      <c r="A26" s="26"/>
      <c r="B26" s="26"/>
      <c r="C26" s="26"/>
      <c r="D26" s="26"/>
      <c r="E26" s="26"/>
      <c r="F26" s="26"/>
      <c r="G26" s="26"/>
      <c r="H26" s="26"/>
    </row>
    <row r="27" spans="1:8">
      <c r="A27" s="26"/>
      <c r="B27" s="26"/>
      <c r="C27" s="26"/>
      <c r="D27" s="26"/>
      <c r="E27" s="26"/>
      <c r="F27" s="26"/>
      <c r="G27" s="26"/>
      <c r="H27" s="26"/>
    </row>
    <row r="28" spans="1:8">
      <c r="A28" s="26"/>
      <c r="B28" s="26"/>
      <c r="C28" s="26"/>
      <c r="D28" s="26"/>
      <c r="E28" s="26"/>
      <c r="F28" s="26"/>
      <c r="G28" s="26"/>
      <c r="H28" s="26"/>
    </row>
    <row r="29" spans="1:8">
      <c r="A29" s="26"/>
      <c r="B29" s="26"/>
      <c r="C29" s="26"/>
      <c r="D29" s="26"/>
      <c r="E29" s="26"/>
      <c r="F29" s="26"/>
      <c r="G29" s="26"/>
      <c r="H29" s="26"/>
    </row>
    <row r="30" spans="1:8">
      <c r="A30" s="25"/>
      <c r="B30" s="26"/>
      <c r="C30" s="26"/>
      <c r="D30" s="26"/>
      <c r="E30" s="26"/>
      <c r="F30" s="26"/>
      <c r="G30" s="26"/>
      <c r="H30" s="26"/>
    </row>
    <row r="31" spans="1:8">
      <c r="A31" s="26"/>
      <c r="B31" s="26"/>
      <c r="C31" s="26"/>
      <c r="D31" s="26"/>
      <c r="E31" s="26"/>
      <c r="F31" s="26"/>
      <c r="G31" s="26"/>
      <c r="H31" s="26"/>
    </row>
    <row r="32" spans="1:8">
      <c r="A32" s="26"/>
      <c r="B32" s="26"/>
      <c r="C32" s="26"/>
      <c r="D32" s="26"/>
      <c r="E32" s="26"/>
      <c r="F32" s="26"/>
      <c r="G32" s="26"/>
      <c r="H32" s="26"/>
    </row>
  </sheetData>
  <sheetProtection algorithmName="SHA-512" hashValue="iCN3e4Uu2q2vwIYatwIsWWYddsR26RyF0S3r/mQMbBtbvtjzkB4MHDI1fnVqaw8yI38MEXct8OP941gOvXrB6w==" saltValue="a7WCHRU23Zp6K8R5kNrlCQ==" spinCount="100000" sheet="1" objects="1" scenarios="1"/>
  <phoneticPr fontId="1"/>
  <conditionalFormatting sqref="B7">
    <cfRule type="expression" dxfId="0" priority="1">
      <formula>B7&gt;#REF!</formula>
    </cfRule>
  </conditionalFormatting>
  <dataValidations count="1">
    <dataValidation type="list" allowBlank="1" showInputMessage="1" showErrorMessage="1" sqref="C12" xr:uid="{2400F026-29B1-4200-A6E6-3FCFD0D5F400}">
      <formula1>"利用しない / Not Use,mdx I のみ利用 / Use mdx I only, mdx II のみ利用 / Use mdx II only, mdx I + mdx II どちらも利用 / Use both mdx I &amp; mdx II"</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09210-BDAB-4F83-BB2B-98732277DE5F}">
  <sheetPr>
    <pageSetUpPr fitToPage="1"/>
  </sheetPr>
  <dimension ref="A1:W394"/>
  <sheetViews>
    <sheetView zoomScale="80" zoomScaleNormal="80" workbookViewId="0">
      <selection activeCell="A7" sqref="A7"/>
    </sheetView>
  </sheetViews>
  <sheetFormatPr defaultColWidth="9" defaultRowHeight="17.649999999999999"/>
  <cols>
    <col min="1" max="1" width="41.875" style="1" customWidth="1"/>
    <col min="2" max="2" width="38.625" style="1" customWidth="1"/>
    <col min="3" max="3" width="49.625" style="1" customWidth="1"/>
    <col min="4" max="4" width="48.5" style="1" customWidth="1"/>
    <col min="5" max="5" width="30.125" style="1" hidden="1" customWidth="1"/>
    <col min="6" max="6" width="22.625" style="1" hidden="1" customWidth="1"/>
    <col min="7" max="8" width="9" style="1" hidden="1" customWidth="1"/>
    <col min="9" max="9" width="55.125" style="1" hidden="1" customWidth="1"/>
    <col min="10" max="10" width="21.625" style="1" hidden="1" customWidth="1"/>
    <col min="11" max="19" width="9" style="1" hidden="1" customWidth="1"/>
    <col min="20" max="20" width="9" style="1" customWidth="1"/>
    <col min="21" max="16384" width="9" style="1"/>
  </cols>
  <sheetData>
    <row r="1" spans="1:11" ht="24" customHeight="1">
      <c r="A1" s="13" t="s">
        <v>43</v>
      </c>
      <c r="B1" s="13"/>
      <c r="D1" s="439" t="s">
        <v>36</v>
      </c>
      <c r="E1" s="43" t="s">
        <v>44</v>
      </c>
    </row>
    <row r="2" spans="1:11" ht="24" customHeight="1">
      <c r="A2" s="13" t="s">
        <v>45</v>
      </c>
      <c r="B2" s="13"/>
      <c r="I2" s="310"/>
      <c r="J2" s="310"/>
      <c r="K2" s="310"/>
    </row>
    <row r="3" spans="1:11" ht="63" customHeight="1" thickBot="1">
      <c r="A3" s="66"/>
      <c r="B3" s="65" t="str" cm="1">
        <f t="array" aca="1" ref="B3" ca="1">IF(SUM(LEN(C57:C66))&gt;0,"利用資源の申請に誤りがありますので修正ください / Some error occur in resource application sheets. Please fix.","")</f>
        <v/>
      </c>
      <c r="I3" s="310"/>
      <c r="J3" s="310"/>
      <c r="K3" s="310"/>
    </row>
    <row r="4" spans="1:11" ht="17.850000000000001" customHeight="1">
      <c r="A4" s="12" t="s">
        <v>46</v>
      </c>
      <c r="E4" s="311" t="s">
        <v>47</v>
      </c>
      <c r="I4" s="310"/>
      <c r="J4" s="310"/>
      <c r="K4" s="310"/>
    </row>
    <row r="5" spans="1:11" ht="17.850000000000001" customHeight="1" thickBot="1">
      <c r="A5" s="11" t="s">
        <v>48</v>
      </c>
      <c r="B5" s="10"/>
      <c r="C5" s="10"/>
      <c r="D5" s="10"/>
      <c r="E5" s="37" t="s">
        <v>49</v>
      </c>
      <c r="I5" s="310"/>
      <c r="J5" s="310"/>
      <c r="K5" s="310"/>
    </row>
    <row r="6" spans="1:11" ht="29.25" customHeight="1">
      <c r="A6" s="67" t="s">
        <v>50</v>
      </c>
      <c r="B6" s="68" t="s">
        <v>1083</v>
      </c>
      <c r="I6" s="310"/>
      <c r="J6" s="310"/>
      <c r="K6" s="310"/>
    </row>
    <row r="7" spans="1:11" ht="33">
      <c r="A7" s="69" t="s">
        <v>51</v>
      </c>
      <c r="B7" s="70" t="s">
        <v>1084</v>
      </c>
      <c r="E7" s="305"/>
      <c r="I7" s="310"/>
      <c r="J7" s="310"/>
      <c r="K7" s="310"/>
    </row>
    <row r="8" spans="1:11" ht="141.6" customHeight="1" thickBot="1">
      <c r="A8" s="446" t="s">
        <v>52</v>
      </c>
      <c r="B8" s="521" t="s">
        <v>1085</v>
      </c>
      <c r="C8" s="1" t="s">
        <v>53</v>
      </c>
      <c r="E8" s="305"/>
      <c r="I8" s="310"/>
      <c r="J8" s="310"/>
      <c r="K8" s="310"/>
    </row>
    <row r="9" spans="1:11" ht="32.450000000000003" customHeight="1">
      <c r="A9" s="71" t="s">
        <v>54</v>
      </c>
      <c r="B9" s="72" t="s">
        <v>1086</v>
      </c>
      <c r="E9" s="440" t="s">
        <v>55</v>
      </c>
      <c r="F9" s="442" t="s">
        <v>56</v>
      </c>
      <c r="I9" s="310"/>
      <c r="J9" s="310"/>
      <c r="K9" s="310"/>
    </row>
    <row r="10" spans="1:11" ht="47.1" customHeight="1" thickBot="1">
      <c r="A10" s="517" t="s">
        <v>57</v>
      </c>
      <c r="B10" s="518" t="s">
        <v>56</v>
      </c>
      <c r="E10" s="441" t="s">
        <v>58</v>
      </c>
      <c r="F10" s="443" t="s">
        <v>59</v>
      </c>
      <c r="I10" s="310"/>
      <c r="J10" s="310"/>
      <c r="K10" s="310"/>
    </row>
    <row r="11" spans="1:11" ht="72.75" customHeight="1">
      <c r="A11" s="513" t="s">
        <v>60</v>
      </c>
      <c r="B11" s="68" t="s">
        <v>1087</v>
      </c>
      <c r="C11" s="516" t="s">
        <v>62</v>
      </c>
      <c r="E11" s="306"/>
      <c r="F11" s="445" t="s">
        <v>63</v>
      </c>
      <c r="I11" s="310"/>
      <c r="J11" s="310"/>
      <c r="K11" s="310"/>
    </row>
    <row r="12" spans="1:11" ht="54.6" customHeight="1" thickBot="1">
      <c r="A12" s="308" t="s">
        <v>64</v>
      </c>
      <c r="B12" s="70" t="s">
        <v>61</v>
      </c>
      <c r="E12" s="306"/>
      <c r="F12" s="444" t="s">
        <v>65</v>
      </c>
      <c r="I12" s="310"/>
      <c r="J12" s="310"/>
      <c r="K12" s="310"/>
    </row>
    <row r="13" spans="1:11" ht="54.6" customHeight="1">
      <c r="A13" s="308" t="s">
        <v>66</v>
      </c>
      <c r="B13" s="70" t="s">
        <v>61</v>
      </c>
      <c r="E13" s="306"/>
      <c r="I13" s="310"/>
      <c r="J13" s="310"/>
      <c r="K13" s="310"/>
    </row>
    <row r="14" spans="1:11" ht="54.6" customHeight="1" thickBot="1">
      <c r="A14" s="514" t="s">
        <v>67</v>
      </c>
      <c r="B14" s="515" t="s">
        <v>1087</v>
      </c>
      <c r="E14" s="306"/>
      <c r="I14" s="310"/>
    </row>
    <row r="15" spans="1:11" ht="32.450000000000003" customHeight="1">
      <c r="A15" s="519" t="s">
        <v>68</v>
      </c>
      <c r="B15" s="520" t="s">
        <v>1088</v>
      </c>
      <c r="E15" s="307"/>
      <c r="I15" s="310"/>
    </row>
    <row r="16" spans="1:11" ht="50.1" customHeight="1" thickBot="1">
      <c r="A16" s="509" t="s">
        <v>69</v>
      </c>
      <c r="B16" s="73" t="s">
        <v>1089</v>
      </c>
      <c r="I16" s="310"/>
    </row>
    <row r="17" spans="1:23" ht="102" customHeight="1">
      <c r="A17" s="633" t="s">
        <v>70</v>
      </c>
      <c r="B17" s="502" t="s">
        <v>1090</v>
      </c>
      <c r="C17" s="506" t="s">
        <v>1091</v>
      </c>
      <c r="D17" s="219" t="s">
        <v>71</v>
      </c>
      <c r="E17" s="215"/>
      <c r="I17" s="310"/>
    </row>
    <row r="18" spans="1:23" ht="59.25" customHeight="1">
      <c r="A18" s="74" t="s">
        <v>72</v>
      </c>
      <c r="B18" s="312"/>
      <c r="C18" s="507"/>
      <c r="E18" s="215"/>
      <c r="I18" s="310" t="s">
        <v>73</v>
      </c>
    </row>
    <row r="19" spans="1:23" ht="59.25" customHeight="1">
      <c r="A19" s="74" t="s">
        <v>74</v>
      </c>
      <c r="B19" s="312"/>
      <c r="C19" s="507"/>
      <c r="D19" s="5"/>
      <c r="E19" s="215"/>
      <c r="I19" t="s">
        <v>75</v>
      </c>
      <c r="J19" t="s">
        <v>76</v>
      </c>
      <c r="K19" t="s">
        <v>77</v>
      </c>
      <c r="L19" t="s">
        <v>78</v>
      </c>
      <c r="M19" t="s">
        <v>79</v>
      </c>
      <c r="N19" t="s">
        <v>80</v>
      </c>
      <c r="O19" t="s">
        <v>81</v>
      </c>
      <c r="P19" t="s">
        <v>82</v>
      </c>
      <c r="Q19" t="s">
        <v>83</v>
      </c>
      <c r="R19" t="s">
        <v>84</v>
      </c>
    </row>
    <row r="20" spans="1:23" ht="59.25" customHeight="1">
      <c r="A20" s="74" t="s">
        <v>85</v>
      </c>
      <c r="B20" s="312"/>
      <c r="C20" s="507"/>
      <c r="D20" s="5"/>
      <c r="E20" s="215"/>
      <c r="I20" t="s">
        <v>86</v>
      </c>
      <c r="J20" t="s">
        <v>87</v>
      </c>
      <c r="K20" t="s">
        <v>88</v>
      </c>
      <c r="L20" t="s">
        <v>89</v>
      </c>
      <c r="M20" t="s">
        <v>90</v>
      </c>
      <c r="N20" t="s">
        <v>91</v>
      </c>
      <c r="O20" t="s">
        <v>92</v>
      </c>
      <c r="P20" t="s">
        <v>93</v>
      </c>
      <c r="Q20" t="s">
        <v>94</v>
      </c>
      <c r="R20" t="s">
        <v>95</v>
      </c>
    </row>
    <row r="21" spans="1:23" ht="59.25" customHeight="1" thickBot="1">
      <c r="A21" s="503" t="s">
        <v>96</v>
      </c>
      <c r="B21" s="504"/>
      <c r="C21" s="508"/>
      <c r="D21" s="5"/>
      <c r="E21" s="215"/>
      <c r="I21" t="s">
        <v>97</v>
      </c>
      <c r="J21" t="s">
        <v>98</v>
      </c>
      <c r="K21" t="s">
        <v>99</v>
      </c>
      <c r="L21" t="s">
        <v>100</v>
      </c>
      <c r="M21" t="s">
        <v>101</v>
      </c>
      <c r="N21" t="s">
        <v>102</v>
      </c>
      <c r="O21" t="s">
        <v>103</v>
      </c>
      <c r="P21" t="s">
        <v>104</v>
      </c>
      <c r="Q21"/>
      <c r="R21"/>
    </row>
    <row r="22" spans="1:23" ht="60.75" customHeight="1">
      <c r="A22" s="510" t="s">
        <v>105</v>
      </c>
      <c r="B22" s="511" t="s">
        <v>200</v>
      </c>
      <c r="C22" s="512" t="s">
        <v>201</v>
      </c>
      <c r="D22" s="5"/>
      <c r="E22" s="220"/>
      <c r="I22" t="s">
        <v>106</v>
      </c>
      <c r="J22" t="s">
        <v>107</v>
      </c>
      <c r="K22" t="s">
        <v>108</v>
      </c>
      <c r="L22" t="s">
        <v>109</v>
      </c>
      <c r="M22" t="s">
        <v>110</v>
      </c>
      <c r="N22" t="s">
        <v>111</v>
      </c>
      <c r="O22" t="s">
        <v>112</v>
      </c>
      <c r="P22"/>
      <c r="Q22"/>
      <c r="R22"/>
    </row>
    <row r="23" spans="1:23" ht="59.25" customHeight="1" thickBot="1">
      <c r="A23" s="503" t="s">
        <v>113</v>
      </c>
      <c r="B23" s="504"/>
      <c r="C23" s="505"/>
      <c r="E23" s="220"/>
      <c r="I23" t="s">
        <v>114</v>
      </c>
      <c r="J23" t="s">
        <v>115</v>
      </c>
      <c r="K23" t="s">
        <v>116</v>
      </c>
      <c r="L23" t="s">
        <v>117</v>
      </c>
      <c r="M23" t="s">
        <v>118</v>
      </c>
      <c r="N23" t="s">
        <v>119</v>
      </c>
      <c r="O23" t="s">
        <v>120</v>
      </c>
      <c r="P23" t="s">
        <v>121</v>
      </c>
      <c r="Q23"/>
      <c r="R23"/>
    </row>
    <row r="24" spans="1:23" ht="9" customHeight="1">
      <c r="A24" s="2"/>
      <c r="B24" s="2"/>
      <c r="C24" s="21"/>
      <c r="D24" s="21"/>
      <c r="E24" s="21"/>
      <c r="F24" s="21"/>
      <c r="G24" s="21"/>
      <c r="H24" s="21"/>
      <c r="I24" t="s">
        <v>122</v>
      </c>
      <c r="J24" t="s">
        <v>123</v>
      </c>
      <c r="K24" t="s">
        <v>124</v>
      </c>
      <c r="L24" t="s">
        <v>110</v>
      </c>
      <c r="M24" t="s">
        <v>112</v>
      </c>
      <c r="N24"/>
      <c r="O24"/>
      <c r="P24"/>
      <c r="Q24"/>
      <c r="R24"/>
      <c r="S24" s="21"/>
      <c r="T24" s="21"/>
      <c r="U24" s="21"/>
      <c r="V24" s="21"/>
      <c r="W24" s="21"/>
    </row>
    <row r="25" spans="1:23" ht="17.850000000000001" customHeight="1" thickBot="1">
      <c r="A25" s="2" t="s">
        <v>125</v>
      </c>
      <c r="B25" s="2"/>
      <c r="I25" t="s">
        <v>126</v>
      </c>
      <c r="J25" t="s">
        <v>127</v>
      </c>
      <c r="K25" t="s">
        <v>128</v>
      </c>
      <c r="L25" t="s">
        <v>129</v>
      </c>
      <c r="M25" t="s">
        <v>130</v>
      </c>
      <c r="N25" t="s">
        <v>131</v>
      </c>
      <c r="O25" t="s">
        <v>132</v>
      </c>
      <c r="P25" t="s">
        <v>133</v>
      </c>
      <c r="Q25" t="s">
        <v>134</v>
      </c>
      <c r="R25" t="s">
        <v>135</v>
      </c>
    </row>
    <row r="26" spans="1:23" ht="55.5" customHeight="1">
      <c r="A26" s="14" t="s">
        <v>136</v>
      </c>
      <c r="B26" s="30" t="s">
        <v>1092</v>
      </c>
      <c r="I26" t="s">
        <v>137</v>
      </c>
      <c r="J26" t="s">
        <v>138</v>
      </c>
      <c r="K26" t="s">
        <v>139</v>
      </c>
      <c r="L26" t="s">
        <v>140</v>
      </c>
      <c r="M26" t="s">
        <v>111</v>
      </c>
      <c r="N26" t="s">
        <v>112</v>
      </c>
      <c r="O26"/>
      <c r="P26"/>
      <c r="Q26"/>
      <c r="R26"/>
    </row>
    <row r="27" spans="1:23" ht="50.25" customHeight="1">
      <c r="A27" s="15" t="s">
        <v>141</v>
      </c>
      <c r="B27" s="218" t="s">
        <v>1093</v>
      </c>
      <c r="I27" t="s">
        <v>142</v>
      </c>
      <c r="J27" t="s">
        <v>143</v>
      </c>
      <c r="K27" t="s">
        <v>144</v>
      </c>
      <c r="L27" t="s">
        <v>145</v>
      </c>
      <c r="M27" t="s">
        <v>146</v>
      </c>
      <c r="N27" t="s">
        <v>147</v>
      </c>
      <c r="O27" t="s">
        <v>148</v>
      </c>
      <c r="P27" t="s">
        <v>149</v>
      </c>
      <c r="Q27" t="s">
        <v>150</v>
      </c>
      <c r="R27" t="s">
        <v>95</v>
      </c>
    </row>
    <row r="28" spans="1:23" ht="17.850000000000001" customHeight="1">
      <c r="A28" s="16" t="s">
        <v>151</v>
      </c>
      <c r="B28" s="31" t="s">
        <v>1094</v>
      </c>
      <c r="I28" t="s">
        <v>152</v>
      </c>
      <c r="J28" t="s">
        <v>153</v>
      </c>
      <c r="K28" t="s">
        <v>154</v>
      </c>
      <c r="L28" t="s">
        <v>155</v>
      </c>
      <c r="M28" t="s">
        <v>156</v>
      </c>
      <c r="N28" t="s">
        <v>157</v>
      </c>
      <c r="O28"/>
      <c r="P28"/>
      <c r="Q28"/>
      <c r="R28"/>
    </row>
    <row r="29" spans="1:23" ht="17.850000000000001" customHeight="1">
      <c r="A29" s="16" t="s">
        <v>158</v>
      </c>
      <c r="B29" s="31" t="s">
        <v>1095</v>
      </c>
      <c r="I29" t="s">
        <v>159</v>
      </c>
      <c r="J29" t="s">
        <v>160</v>
      </c>
      <c r="K29" t="s">
        <v>161</v>
      </c>
      <c r="L29"/>
      <c r="M29"/>
      <c r="N29"/>
      <c r="O29"/>
      <c r="P29"/>
      <c r="Q29"/>
      <c r="R29"/>
    </row>
    <row r="30" spans="1:23" ht="17.850000000000001" customHeight="1">
      <c r="A30" s="16" t="s">
        <v>162</v>
      </c>
      <c r="B30" s="31" t="s">
        <v>1096</v>
      </c>
      <c r="I30" t="s">
        <v>163</v>
      </c>
      <c r="J30" t="s">
        <v>164</v>
      </c>
      <c r="K30" t="s">
        <v>165</v>
      </c>
      <c r="L30" t="s">
        <v>166</v>
      </c>
      <c r="M30" t="s">
        <v>167</v>
      </c>
      <c r="N30"/>
      <c r="O30"/>
      <c r="P30"/>
      <c r="Q30"/>
      <c r="R30"/>
    </row>
    <row r="31" spans="1:23" ht="17.850000000000001" customHeight="1">
      <c r="A31" s="16" t="s">
        <v>168</v>
      </c>
      <c r="B31" s="31" t="s">
        <v>1097</v>
      </c>
      <c r="I31" t="s">
        <v>169</v>
      </c>
      <c r="J31" t="s">
        <v>170</v>
      </c>
      <c r="K31" t="s">
        <v>171</v>
      </c>
      <c r="L31" t="s">
        <v>172</v>
      </c>
      <c r="M31" t="s">
        <v>173</v>
      </c>
      <c r="N31"/>
      <c r="O31"/>
      <c r="P31"/>
      <c r="Q31"/>
      <c r="R31"/>
    </row>
    <row r="32" spans="1:23" ht="17.850000000000001" customHeight="1">
      <c r="A32" s="16" t="s">
        <v>174</v>
      </c>
      <c r="B32" s="31" t="s">
        <v>1098</v>
      </c>
      <c r="I32" t="s">
        <v>175</v>
      </c>
      <c r="J32" t="s">
        <v>176</v>
      </c>
      <c r="K32" t="s">
        <v>177</v>
      </c>
      <c r="L32" t="s">
        <v>178</v>
      </c>
      <c r="M32" t="s">
        <v>179</v>
      </c>
      <c r="N32"/>
      <c r="O32"/>
      <c r="P32"/>
      <c r="Q32"/>
      <c r="R32"/>
    </row>
    <row r="33" spans="1:23" ht="17.850000000000001" customHeight="1">
      <c r="A33" s="16" t="s">
        <v>180</v>
      </c>
      <c r="B33" s="31" t="s">
        <v>1099</v>
      </c>
      <c r="I33" t="s">
        <v>181</v>
      </c>
      <c r="J33" t="s">
        <v>182</v>
      </c>
      <c r="K33" t="s">
        <v>183</v>
      </c>
      <c r="L33" t="s">
        <v>179</v>
      </c>
      <c r="M33"/>
      <c r="N33"/>
      <c r="O33"/>
      <c r="P33"/>
      <c r="Q33"/>
      <c r="R33"/>
    </row>
    <row r="34" spans="1:23" ht="17.850000000000001" customHeight="1" thickBot="1">
      <c r="A34" s="17" t="s">
        <v>184</v>
      </c>
      <c r="B34" s="32" t="s">
        <v>1100</v>
      </c>
      <c r="I34" t="s">
        <v>185</v>
      </c>
      <c r="J34" t="s">
        <v>186</v>
      </c>
      <c r="K34"/>
      <c r="L34"/>
      <c r="M34"/>
      <c r="N34"/>
      <c r="O34"/>
      <c r="P34"/>
      <c r="Q34"/>
      <c r="R34"/>
    </row>
    <row r="35" spans="1:23" ht="9" customHeight="1">
      <c r="A35" s="2"/>
      <c r="B35" s="237"/>
      <c r="C35" s="21"/>
      <c r="D35" s="21"/>
      <c r="E35" s="21"/>
      <c r="F35" s="21"/>
      <c r="G35" s="21"/>
      <c r="H35" s="21"/>
      <c r="I35" t="s">
        <v>187</v>
      </c>
      <c r="J35" t="s">
        <v>188</v>
      </c>
      <c r="K35" t="s">
        <v>189</v>
      </c>
      <c r="L35" t="s">
        <v>190</v>
      </c>
      <c r="M35" t="s">
        <v>191</v>
      </c>
      <c r="N35" t="s">
        <v>192</v>
      </c>
      <c r="O35"/>
      <c r="P35"/>
      <c r="Q35"/>
      <c r="R35"/>
      <c r="S35" s="21"/>
      <c r="T35" s="21"/>
      <c r="U35" s="21"/>
      <c r="V35" s="21"/>
      <c r="W35" s="21"/>
    </row>
    <row r="36" spans="1:23" ht="17.850000000000001" customHeight="1" thickBot="1">
      <c r="A36" s="2" t="s">
        <v>193</v>
      </c>
      <c r="B36" s="237"/>
      <c r="I36" t="s">
        <v>194</v>
      </c>
      <c r="J36" t="s">
        <v>195</v>
      </c>
      <c r="K36" t="s">
        <v>196</v>
      </c>
      <c r="L36" t="s">
        <v>197</v>
      </c>
      <c r="M36" t="s">
        <v>198</v>
      </c>
      <c r="N36"/>
      <c r="O36"/>
      <c r="P36"/>
      <c r="Q36"/>
      <c r="R36"/>
    </row>
    <row r="37" spans="1:23" ht="35.1" customHeight="1">
      <c r="A37" s="19" t="s">
        <v>199</v>
      </c>
      <c r="B37" s="33" t="s">
        <v>1092</v>
      </c>
      <c r="I37" t="s">
        <v>200</v>
      </c>
      <c r="J37" t="s">
        <v>201</v>
      </c>
      <c r="K37" t="s">
        <v>202</v>
      </c>
      <c r="L37"/>
      <c r="M37"/>
      <c r="N37"/>
      <c r="O37"/>
      <c r="P37"/>
      <c r="Q37"/>
      <c r="R37"/>
    </row>
    <row r="38" spans="1:23" ht="17.850000000000001" customHeight="1">
      <c r="A38" s="18" t="s">
        <v>203</v>
      </c>
      <c r="B38" s="34" t="s">
        <v>1101</v>
      </c>
      <c r="I38" t="s">
        <v>204</v>
      </c>
      <c r="J38" t="s">
        <v>205</v>
      </c>
      <c r="K38" t="s">
        <v>206</v>
      </c>
      <c r="L38"/>
      <c r="M38"/>
      <c r="N38"/>
      <c r="O38"/>
      <c r="P38"/>
      <c r="Q38"/>
      <c r="R38"/>
    </row>
    <row r="39" spans="1:23" ht="17.850000000000001" customHeight="1">
      <c r="A39" s="16" t="s">
        <v>162</v>
      </c>
      <c r="B39" s="31" t="s">
        <v>1102</v>
      </c>
      <c r="I39" t="s">
        <v>207</v>
      </c>
      <c r="J39" t="s">
        <v>208</v>
      </c>
      <c r="K39" t="s">
        <v>209</v>
      </c>
      <c r="L39" t="s">
        <v>210</v>
      </c>
      <c r="M39" t="s">
        <v>211</v>
      </c>
      <c r="N39" t="s">
        <v>212</v>
      </c>
      <c r="O39" t="s">
        <v>213</v>
      </c>
      <c r="P39"/>
      <c r="Q39"/>
      <c r="R39"/>
    </row>
    <row r="40" spans="1:23" ht="17.850000000000001" customHeight="1">
      <c r="A40" s="16" t="s">
        <v>214</v>
      </c>
      <c r="B40" s="31" t="s">
        <v>1097</v>
      </c>
      <c r="I40" t="s">
        <v>215</v>
      </c>
      <c r="J40" t="s">
        <v>216</v>
      </c>
      <c r="K40" t="s">
        <v>217</v>
      </c>
      <c r="L40" t="s">
        <v>218</v>
      </c>
      <c r="M40" t="s">
        <v>219</v>
      </c>
      <c r="N40" t="s">
        <v>220</v>
      </c>
      <c r="O40" t="s">
        <v>221</v>
      </c>
      <c r="P40"/>
      <c r="Q40"/>
      <c r="R40"/>
    </row>
    <row r="41" spans="1:23" ht="17.850000000000001" customHeight="1">
      <c r="A41" s="16" t="s">
        <v>222</v>
      </c>
      <c r="B41" s="31" t="s">
        <v>1098</v>
      </c>
      <c r="I41" t="s">
        <v>223</v>
      </c>
      <c r="J41" t="s">
        <v>224</v>
      </c>
      <c r="K41" t="s">
        <v>225</v>
      </c>
      <c r="L41" t="s">
        <v>226</v>
      </c>
      <c r="M41" t="s">
        <v>227</v>
      </c>
      <c r="N41" t="s">
        <v>84</v>
      </c>
      <c r="O41"/>
      <c r="P41"/>
      <c r="Q41"/>
      <c r="R41"/>
    </row>
    <row r="42" spans="1:23" ht="17.850000000000001" customHeight="1">
      <c r="A42" s="16" t="s">
        <v>228</v>
      </c>
      <c r="B42" s="31" t="s">
        <v>1103</v>
      </c>
      <c r="I42" t="s">
        <v>229</v>
      </c>
      <c r="J42" t="s">
        <v>230</v>
      </c>
      <c r="K42" t="s">
        <v>231</v>
      </c>
      <c r="L42"/>
      <c r="M42"/>
      <c r="N42"/>
      <c r="O42"/>
      <c r="P42"/>
      <c r="Q42"/>
      <c r="R42"/>
    </row>
    <row r="43" spans="1:23" ht="17.850000000000001" customHeight="1" thickBot="1">
      <c r="A43" s="17" t="s">
        <v>184</v>
      </c>
      <c r="B43" s="32" t="s">
        <v>1104</v>
      </c>
      <c r="I43" t="s">
        <v>232</v>
      </c>
      <c r="J43" t="s">
        <v>233</v>
      </c>
      <c r="K43" t="s">
        <v>234</v>
      </c>
      <c r="L43" t="s">
        <v>235</v>
      </c>
      <c r="M43"/>
      <c r="N43"/>
      <c r="O43"/>
      <c r="P43"/>
      <c r="Q43"/>
      <c r="R43"/>
    </row>
    <row r="44" spans="1:23" ht="23.25" customHeight="1">
      <c r="A44" s="2"/>
      <c r="B44" s="237"/>
      <c r="C44" s="21"/>
      <c r="D44" s="21"/>
      <c r="E44" s="21"/>
      <c r="F44" s="21"/>
      <c r="G44" s="21"/>
      <c r="H44" s="21"/>
      <c r="I44" t="s">
        <v>236</v>
      </c>
      <c r="J44" t="s">
        <v>237</v>
      </c>
      <c r="K44" t="s">
        <v>238</v>
      </c>
      <c r="L44" t="s">
        <v>239</v>
      </c>
      <c r="M44" t="s">
        <v>240</v>
      </c>
      <c r="N44" t="s">
        <v>241</v>
      </c>
      <c r="O44" t="s">
        <v>242</v>
      </c>
      <c r="P44"/>
      <c r="Q44"/>
      <c r="R44"/>
      <c r="S44" s="21"/>
      <c r="T44" s="21"/>
      <c r="U44" s="21"/>
      <c r="V44" s="21"/>
      <c r="W44" s="21"/>
    </row>
    <row r="45" spans="1:23" ht="17.850000000000001" customHeight="1" thickBot="1">
      <c r="A45" s="23" t="s">
        <v>243</v>
      </c>
      <c r="B45" s="238"/>
      <c r="I45" t="s">
        <v>244</v>
      </c>
      <c r="J45" t="s">
        <v>245</v>
      </c>
      <c r="K45" t="s">
        <v>246</v>
      </c>
      <c r="L45" t="s">
        <v>247</v>
      </c>
      <c r="M45" t="s">
        <v>248</v>
      </c>
      <c r="N45"/>
      <c r="O45"/>
      <c r="P45"/>
      <c r="Q45"/>
      <c r="R45"/>
    </row>
    <row r="46" spans="1:23" ht="33.75" customHeight="1">
      <c r="A46" s="188" t="s">
        <v>249</v>
      </c>
      <c r="B46" s="313" t="s">
        <v>49</v>
      </c>
      <c r="I46" t="s">
        <v>250</v>
      </c>
      <c r="J46" t="s">
        <v>251</v>
      </c>
      <c r="K46" t="s">
        <v>252</v>
      </c>
      <c r="L46" t="s">
        <v>253</v>
      </c>
      <c r="M46" t="s">
        <v>254</v>
      </c>
      <c r="N46" t="s">
        <v>255</v>
      </c>
      <c r="O46"/>
      <c r="P46"/>
      <c r="Q46"/>
      <c r="R46"/>
    </row>
    <row r="47" spans="1:23" ht="38.25" customHeight="1">
      <c r="A47" s="189" t="s">
        <v>256</v>
      </c>
      <c r="B47" s="314" t="str">
        <f>IF(COUNTIF(Researcher!$H$6:$H$100,A47)&gt;0,"○","")</f>
        <v/>
      </c>
      <c r="I47" t="s">
        <v>257</v>
      </c>
      <c r="J47" t="s">
        <v>258</v>
      </c>
      <c r="K47" t="s">
        <v>259</v>
      </c>
      <c r="L47" t="s">
        <v>260</v>
      </c>
      <c r="M47"/>
      <c r="N47"/>
      <c r="O47"/>
      <c r="P47"/>
      <c r="Q47"/>
      <c r="R47"/>
    </row>
    <row r="48" spans="1:23" ht="46.5" customHeight="1">
      <c r="A48" s="189" t="s">
        <v>261</v>
      </c>
      <c r="B48" s="314" t="s">
        <v>49</v>
      </c>
      <c r="I48" t="s">
        <v>262</v>
      </c>
      <c r="J48" t="s">
        <v>263</v>
      </c>
      <c r="K48" t="s">
        <v>264</v>
      </c>
      <c r="L48"/>
      <c r="M48"/>
      <c r="N48"/>
      <c r="O48"/>
      <c r="P48"/>
      <c r="Q48"/>
      <c r="R48"/>
    </row>
    <row r="49" spans="1:23" ht="51" customHeight="1">
      <c r="A49" s="189" t="s">
        <v>265</v>
      </c>
      <c r="B49" s="314" t="str">
        <f>IF(COUNTIF(Researcher!$H$6:$H$100,A49)&gt;0,"○","")</f>
        <v/>
      </c>
      <c r="I49" t="s">
        <v>266</v>
      </c>
      <c r="J49" t="s">
        <v>267</v>
      </c>
      <c r="K49" t="s">
        <v>268</v>
      </c>
      <c r="L49"/>
      <c r="M49"/>
      <c r="N49"/>
      <c r="O49"/>
      <c r="P49"/>
      <c r="Q49"/>
      <c r="R49"/>
    </row>
    <row r="50" spans="1:23" ht="47.25" customHeight="1">
      <c r="A50" s="189" t="s">
        <v>269</v>
      </c>
      <c r="B50" s="314" t="str">
        <f>IF(COUNTIF(Researcher!$H$6:$H$100,A50)&gt;0,"○","")</f>
        <v/>
      </c>
      <c r="I50" t="s">
        <v>270</v>
      </c>
      <c r="J50" t="s">
        <v>271</v>
      </c>
      <c r="K50" t="s">
        <v>272</v>
      </c>
      <c r="L50" t="s">
        <v>273</v>
      </c>
      <c r="M50" t="s">
        <v>274</v>
      </c>
      <c r="N50" t="s">
        <v>275</v>
      </c>
      <c r="O50"/>
      <c r="P50"/>
      <c r="Q50"/>
      <c r="R50"/>
    </row>
    <row r="51" spans="1:23" ht="49.5" customHeight="1">
      <c r="A51" s="189" t="s">
        <v>276</v>
      </c>
      <c r="B51" s="314" t="str">
        <f>IF(COUNTIF(Researcher!$H$6:$H$100,A51)&gt;0,"○","")</f>
        <v/>
      </c>
      <c r="I51" t="s">
        <v>277</v>
      </c>
      <c r="J51" t="s">
        <v>278</v>
      </c>
      <c r="K51" t="s">
        <v>279</v>
      </c>
      <c r="L51"/>
      <c r="M51"/>
      <c r="N51"/>
      <c r="O51"/>
      <c r="P51"/>
      <c r="Q51"/>
      <c r="R51"/>
    </row>
    <row r="52" spans="1:23" ht="48.75" customHeight="1">
      <c r="A52" s="189" t="s">
        <v>280</v>
      </c>
      <c r="B52" s="314" t="str">
        <f>IF(COUNTIF(Researcher!$H$6:$H$100,A52)&gt;0,"○","")</f>
        <v/>
      </c>
      <c r="I52" t="s">
        <v>281</v>
      </c>
      <c r="J52" t="s">
        <v>282</v>
      </c>
      <c r="K52" t="s">
        <v>283</v>
      </c>
      <c r="L52"/>
      <c r="M52"/>
      <c r="N52"/>
      <c r="O52"/>
      <c r="P52"/>
      <c r="Q52"/>
      <c r="R52"/>
    </row>
    <row r="53" spans="1:23" ht="53.25" customHeight="1" thickBot="1">
      <c r="A53" s="190" t="s">
        <v>284</v>
      </c>
      <c r="B53" s="315" t="str">
        <f>IF(COUNTIF(Researcher!$H$6:$H$100,A53)&gt;0,"○","")</f>
        <v/>
      </c>
      <c r="I53" t="s">
        <v>285</v>
      </c>
      <c r="J53" t="s">
        <v>286</v>
      </c>
      <c r="K53" t="s">
        <v>287</v>
      </c>
      <c r="L53" t="s">
        <v>288</v>
      </c>
      <c r="M53"/>
      <c r="N53"/>
      <c r="O53"/>
      <c r="P53"/>
      <c r="Q53"/>
      <c r="R53"/>
    </row>
    <row r="54" spans="1:23" ht="9" customHeight="1">
      <c r="A54" s="2"/>
      <c r="B54" s="2"/>
      <c r="C54" s="21"/>
      <c r="D54" s="21"/>
      <c r="E54" s="21"/>
      <c r="F54" s="21"/>
      <c r="G54" s="21"/>
      <c r="H54" s="21"/>
      <c r="I54" t="s">
        <v>289</v>
      </c>
      <c r="J54" t="s">
        <v>290</v>
      </c>
      <c r="K54" t="s">
        <v>291</v>
      </c>
      <c r="L54" t="s">
        <v>292</v>
      </c>
      <c r="M54"/>
      <c r="N54"/>
      <c r="O54"/>
      <c r="P54"/>
      <c r="Q54"/>
      <c r="R54"/>
      <c r="S54" s="21"/>
      <c r="T54" s="21"/>
      <c r="U54" s="21"/>
      <c r="V54" s="21"/>
      <c r="W54" s="21"/>
    </row>
    <row r="55" spans="1:23" ht="15" customHeight="1">
      <c r="A55" s="23" t="s">
        <v>293</v>
      </c>
      <c r="B55" s="2"/>
      <c r="C55" s="21"/>
      <c r="D55" s="21"/>
      <c r="E55" s="21"/>
      <c r="F55" s="21"/>
      <c r="G55" s="21"/>
      <c r="H55" s="21"/>
      <c r="I55" t="s">
        <v>294</v>
      </c>
      <c r="J55" t="s">
        <v>295</v>
      </c>
      <c r="K55" t="s">
        <v>296</v>
      </c>
      <c r="L55"/>
      <c r="M55"/>
      <c r="N55"/>
      <c r="O55"/>
      <c r="P55"/>
      <c r="Q55"/>
      <c r="R55"/>
    </row>
    <row r="56" spans="1:23" ht="44.25" customHeight="1" thickBot="1">
      <c r="A56" s="355" t="s">
        <v>297</v>
      </c>
      <c r="B56" s="23"/>
      <c r="C56" s="192" t="s">
        <v>298</v>
      </c>
      <c r="E56" s="43" t="s">
        <v>44</v>
      </c>
      <c r="I56" t="s">
        <v>299</v>
      </c>
      <c r="J56" t="s">
        <v>300</v>
      </c>
      <c r="K56" t="s">
        <v>301</v>
      </c>
      <c r="L56" t="s">
        <v>302</v>
      </c>
      <c r="M56"/>
      <c r="N56"/>
      <c r="O56"/>
      <c r="P56"/>
      <c r="Q56"/>
      <c r="R56"/>
    </row>
    <row r="57" spans="1:23" ht="45" customHeight="1" thickBot="1">
      <c r="A57" s="316" t="s">
        <v>303</v>
      </c>
      <c r="B57" s="317">
        <f ca="1">SUM(B58:B66)</f>
        <v>2500000</v>
      </c>
      <c r="C57" s="191" t="str">
        <f ca="1">IF(B57&gt;E57,"全拠点負担金総計の上限値 "&amp;TEXT($E$57,"#,###")&amp;" 円を超えています / Excessing maximum total Cost ","")</f>
        <v/>
      </c>
      <c r="D57" s="28"/>
      <c r="E57" s="163">
        <v>3600000</v>
      </c>
      <c r="F57" s="39" t="s">
        <v>304</v>
      </c>
      <c r="I57" t="s">
        <v>305</v>
      </c>
      <c r="J57" t="s">
        <v>306</v>
      </c>
      <c r="K57" t="s">
        <v>307</v>
      </c>
      <c r="L57" t="s">
        <v>308</v>
      </c>
      <c r="M57" t="s">
        <v>309</v>
      </c>
      <c r="N57" t="s">
        <v>310</v>
      </c>
      <c r="O57" t="s">
        <v>311</v>
      </c>
      <c r="P57"/>
      <c r="Q57"/>
      <c r="R57"/>
    </row>
    <row r="58" spans="1:23" ht="33">
      <c r="A58" s="188" t="s">
        <v>312</v>
      </c>
      <c r="B58" s="318">
        <v>1000000</v>
      </c>
      <c r="C58" s="191" t="str" cm="1">
        <f t="array" aca="1" ref="C58" ca="1">IF(LEN(INDIRECT("Hokkaido!$C$9"))&gt;0,"Hokkaidoシートで資源超過などが発生しています / Problems are present in Hokkaido sheet","")</f>
        <v/>
      </c>
      <c r="D58" s="28"/>
      <c r="I58" t="s">
        <v>313</v>
      </c>
      <c r="J58" t="s">
        <v>314</v>
      </c>
      <c r="K58" t="s">
        <v>315</v>
      </c>
      <c r="L58" t="s">
        <v>316</v>
      </c>
      <c r="M58" t="s">
        <v>317</v>
      </c>
      <c r="N58" t="s">
        <v>318</v>
      </c>
      <c r="O58" t="s">
        <v>319</v>
      </c>
      <c r="P58" t="s">
        <v>320</v>
      </c>
      <c r="Q58"/>
      <c r="R58"/>
    </row>
    <row r="59" spans="1:23" ht="33">
      <c r="A59" s="189" t="s">
        <v>321</v>
      </c>
      <c r="B59" s="319" cm="1">
        <f t="array" aca="1" ref="B59" ca="1">INDIRECT("Tohoku!$B$8")</f>
        <v>0</v>
      </c>
      <c r="C59" s="191" t="str" cm="1">
        <f t="array" aca="1" ref="C59" ca="1">IF(LEN(INDIRECT("Tohoku!$C$9"))&gt;0,"Tohokuシートで資源超過などが発生しています / Problems are present in Tohoku sheet","")</f>
        <v/>
      </c>
      <c r="D59" s="28"/>
      <c r="I59" t="s">
        <v>322</v>
      </c>
      <c r="J59" t="s">
        <v>323</v>
      </c>
      <c r="K59" t="s">
        <v>324</v>
      </c>
      <c r="L59" t="s">
        <v>325</v>
      </c>
      <c r="M59" t="s">
        <v>326</v>
      </c>
      <c r="N59"/>
      <c r="O59"/>
      <c r="P59"/>
      <c r="Q59"/>
      <c r="R59"/>
    </row>
    <row r="60" spans="1:23" ht="33">
      <c r="A60" s="189" t="s">
        <v>327</v>
      </c>
      <c r="B60" s="319" cm="1">
        <f t="array" aca="1" ref="B60" ca="1">INDIRECT("Tokyo!$B$8")</f>
        <v>0</v>
      </c>
      <c r="C60" s="191" t="str" cm="1">
        <f t="array" aca="1" ref="C60" ca="1">IF(LEN(INDIRECT("Tokyo!$C$9"))&gt;0,"Tokyoシートで資源超過などが発生しています / Problems are present in Tokyo sheet","")</f>
        <v/>
      </c>
      <c r="D60" s="28"/>
      <c r="I60" t="s">
        <v>328</v>
      </c>
      <c r="J60" t="s">
        <v>329</v>
      </c>
      <c r="K60" t="s">
        <v>330</v>
      </c>
      <c r="L60" t="s">
        <v>331</v>
      </c>
      <c r="M60" t="s">
        <v>332</v>
      </c>
      <c r="N60" t="s">
        <v>333</v>
      </c>
      <c r="O60"/>
      <c r="P60"/>
      <c r="Q60"/>
      <c r="R60"/>
    </row>
    <row r="61" spans="1:23" ht="49.5">
      <c r="A61" s="189" t="s">
        <v>265</v>
      </c>
      <c r="B61" s="319">
        <v>500000</v>
      </c>
      <c r="C61" s="191" t="str" cm="1">
        <f t="array" aca="1" ref="C61" ca="1">IF(LEN(INDIRECT("Science_Tokyo!$C$9"))&gt;0,"Science_Tokyoシートで資源超過などが発生しています / Problems are present in Science_Tokyo sheet","")</f>
        <v/>
      </c>
      <c r="D61" s="28"/>
      <c r="I61" t="s">
        <v>334</v>
      </c>
      <c r="J61" t="s">
        <v>335</v>
      </c>
      <c r="K61" t="s">
        <v>336</v>
      </c>
      <c r="L61" t="s">
        <v>337</v>
      </c>
      <c r="M61" t="s">
        <v>338</v>
      </c>
      <c r="N61"/>
      <c r="O61"/>
      <c r="P61"/>
      <c r="Q61"/>
      <c r="R61"/>
    </row>
    <row r="62" spans="1:23" ht="33">
      <c r="A62" s="189" t="s">
        <v>339</v>
      </c>
      <c r="B62" s="319" cm="1">
        <f t="array" aca="1" ref="B62" ca="1">INDIRECT("Nagoya!$B$8")</f>
        <v>0</v>
      </c>
      <c r="C62" s="191" t="str" cm="1">
        <f t="array" aca="1" ref="C62" ca="1">IF(LEN(INDIRECT("Nagoya!$C$9"))&gt;0,"Nagoyaシートで資源超過などが発生しています / Problems are present in Nagoya sheet","")</f>
        <v/>
      </c>
      <c r="D62" s="28"/>
      <c r="I62" t="s">
        <v>340</v>
      </c>
      <c r="J62" t="s">
        <v>341</v>
      </c>
      <c r="K62" t="s">
        <v>342</v>
      </c>
      <c r="L62" t="s">
        <v>343</v>
      </c>
      <c r="M62" t="s">
        <v>344</v>
      </c>
      <c r="N62" t="s">
        <v>345</v>
      </c>
      <c r="O62" t="s">
        <v>346</v>
      </c>
      <c r="P62"/>
      <c r="Q62"/>
      <c r="R62"/>
    </row>
    <row r="63" spans="1:23" ht="49.5">
      <c r="A63" s="189" t="s">
        <v>347</v>
      </c>
      <c r="B63" s="319" cm="1">
        <f t="array" aca="1" ref="B63" ca="1">INDIRECT("Kyoto!$B$8")</f>
        <v>0</v>
      </c>
      <c r="C63" s="191" t="str" cm="1">
        <f t="array" aca="1" ref="C63" ca="1">IF(LEN(INDIRECT("Kyoto!$C$9"))&gt;0,"Kyotoシートで資源超過などが発生しています / Problems are present in Kyoto sheet","")</f>
        <v/>
      </c>
      <c r="D63" s="28"/>
      <c r="I63" t="s">
        <v>348</v>
      </c>
      <c r="J63" t="s">
        <v>349</v>
      </c>
      <c r="K63" t="s">
        <v>350</v>
      </c>
      <c r="L63" t="s">
        <v>351</v>
      </c>
      <c r="M63" t="s">
        <v>352</v>
      </c>
      <c r="N63" t="s">
        <v>353</v>
      </c>
      <c r="O63"/>
      <c r="P63"/>
      <c r="Q63"/>
      <c r="R63"/>
    </row>
    <row r="64" spans="1:23" ht="33">
      <c r="A64" s="189" t="s">
        <v>280</v>
      </c>
      <c r="B64" s="319" cm="1">
        <f t="array" aca="1" ref="B64" ca="1">INDIRECT("Osaka!$B$8")</f>
        <v>0</v>
      </c>
      <c r="C64" s="191" t="str" cm="1">
        <f t="array" aca="1" ref="C64" ca="1">IF(LEN(INDIRECT("Osaka!$C$9"))&gt;0,"Osakaシートで資源超過などが発生しています / Problems are present in Osaka sheet","")</f>
        <v/>
      </c>
      <c r="D64" s="28"/>
      <c r="I64" t="s">
        <v>354</v>
      </c>
      <c r="J64" t="s">
        <v>355</v>
      </c>
      <c r="K64" t="s">
        <v>356</v>
      </c>
      <c r="L64" t="s">
        <v>357</v>
      </c>
      <c r="M64" t="s">
        <v>358</v>
      </c>
      <c r="N64" t="s">
        <v>359</v>
      </c>
      <c r="O64" t="s">
        <v>360</v>
      </c>
      <c r="P64"/>
      <c r="Q64"/>
      <c r="R64"/>
    </row>
    <row r="65" spans="1:18" ht="49.5">
      <c r="A65" s="189" t="s">
        <v>361</v>
      </c>
      <c r="B65" s="319" cm="1">
        <f t="array" aca="1" ref="B65" ca="1">INDIRECT("Kyushu!$B$8")</f>
        <v>0</v>
      </c>
      <c r="C65" s="191" t="str" cm="1">
        <f t="array" aca="1" ref="C65" ca="1">IF(LEN(INDIRECT("Kyushu!$C$9"))&gt;0,"Kyushuシートで資源超過などが発生しています / Problems are present in Kyushu sheet","")</f>
        <v/>
      </c>
      <c r="I65" t="s">
        <v>362</v>
      </c>
      <c r="J65" t="s">
        <v>363</v>
      </c>
      <c r="K65" t="s">
        <v>364</v>
      </c>
      <c r="L65" t="s">
        <v>365</v>
      </c>
      <c r="M65"/>
      <c r="N65"/>
      <c r="O65"/>
      <c r="P65"/>
      <c r="Q65"/>
      <c r="R65"/>
    </row>
    <row r="66" spans="1:18" ht="18" thickBot="1">
      <c r="A66" s="320" t="s">
        <v>366</v>
      </c>
      <c r="B66" s="500">
        <v>1000000</v>
      </c>
      <c r="C66" s="306"/>
      <c r="I66" t="s">
        <v>367</v>
      </c>
      <c r="J66" t="s">
        <v>368</v>
      </c>
      <c r="K66" t="s">
        <v>369</v>
      </c>
      <c r="L66" t="s">
        <v>370</v>
      </c>
      <c r="M66" t="s">
        <v>371</v>
      </c>
      <c r="N66" t="s">
        <v>372</v>
      </c>
      <c r="O66" t="s">
        <v>373</v>
      </c>
      <c r="P66"/>
      <c r="Q66"/>
      <c r="R66"/>
    </row>
    <row r="67" spans="1:18" ht="18" thickBot="1">
      <c r="A67" s="321"/>
      <c r="B67" s="322"/>
      <c r="C67" s="306"/>
      <c r="I67" t="s">
        <v>374</v>
      </c>
      <c r="J67" t="s">
        <v>375</v>
      </c>
      <c r="K67" t="s">
        <v>376</v>
      </c>
      <c r="L67" t="s">
        <v>377</v>
      </c>
      <c r="M67" t="s">
        <v>378</v>
      </c>
      <c r="N67"/>
      <c r="O67"/>
      <c r="P67"/>
      <c r="Q67"/>
      <c r="R67"/>
    </row>
    <row r="68" spans="1:18" ht="49.5" customHeight="1" thickBot="1">
      <c r="A68" s="323" t="s">
        <v>379</v>
      </c>
      <c r="B68" s="324">
        <f ca="1">IFERROR((INDIRECT("Hokkaido!$B$6")+INDIRECT("Tohoku!$B$6")+INDIRECT("Tokyo!$B$6")+INDIRECT("Science_Tokyo!$B$6")+INDIRECT("Nagoya!$B$6")+INDIRECT("Kyoto!$B$6")+INDIRECT("Osaka!$B$6")+INDIRECT("Kyushu!$B$6"))/(INDIRECT("Hokkaido!$B$5")+INDIRECT("Tohoku!$B$5")+INDIRECT("Tokyo!$B$5")+INDIRECT("Science_Tokyo!$B$5")+INDIRECT("Nagoya!$B$5")+INDIRECT("Kyoto!$B$5")+INDIRECT("Osaka!$B$5")+INDIRECT("Kyushu!$B$5")),0)</f>
        <v>0</v>
      </c>
      <c r="C68" s="302" t="str">
        <f ca="1">IF(B68&gt;E68,"(Warning) 優先確保資源利用料の合計が "&amp;TEXT($E$68,"0%")&amp;" を超えています(Noteを参照ください） / Total cost of high priority resource is excessing "&amp;TEXT($E$68,"0%")&amp;" (See Note)","")</f>
        <v/>
      </c>
      <c r="E68" s="300">
        <v>0.5</v>
      </c>
      <c r="F68" s="301" t="s">
        <v>380</v>
      </c>
      <c r="I68" t="s">
        <v>381</v>
      </c>
      <c r="J68" t="s">
        <v>382</v>
      </c>
      <c r="K68" t="s">
        <v>383</v>
      </c>
      <c r="L68" t="s">
        <v>384</v>
      </c>
      <c r="M68" t="s">
        <v>385</v>
      </c>
      <c r="N68" t="s">
        <v>386</v>
      </c>
      <c r="O68" t="s">
        <v>387</v>
      </c>
      <c r="P68" t="s">
        <v>388</v>
      </c>
      <c r="Q68"/>
      <c r="R68"/>
    </row>
    <row r="69" spans="1:18">
      <c r="I69" t="s">
        <v>389</v>
      </c>
      <c r="J69" t="s">
        <v>390</v>
      </c>
      <c r="K69" t="s">
        <v>391</v>
      </c>
      <c r="L69"/>
      <c r="M69"/>
      <c r="N69"/>
      <c r="O69"/>
      <c r="P69"/>
      <c r="Q69"/>
      <c r="R69"/>
    </row>
    <row r="70" spans="1:18">
      <c r="I70" t="s">
        <v>392</v>
      </c>
      <c r="J70" t="s">
        <v>393</v>
      </c>
      <c r="K70" t="s">
        <v>394</v>
      </c>
      <c r="L70" t="s">
        <v>395</v>
      </c>
      <c r="M70"/>
      <c r="N70"/>
      <c r="O70"/>
      <c r="P70"/>
      <c r="Q70"/>
      <c r="R70"/>
    </row>
    <row r="71" spans="1:18">
      <c r="I71" t="s">
        <v>396</v>
      </c>
      <c r="J71" t="s">
        <v>397</v>
      </c>
      <c r="K71" t="s">
        <v>398</v>
      </c>
      <c r="L71" t="s">
        <v>399</v>
      </c>
      <c r="M71" t="s">
        <v>400</v>
      </c>
      <c r="N71" t="s">
        <v>401</v>
      </c>
      <c r="O71"/>
      <c r="P71"/>
      <c r="Q71"/>
      <c r="R71"/>
    </row>
    <row r="72" spans="1:18">
      <c r="I72" t="s">
        <v>402</v>
      </c>
      <c r="J72" t="s">
        <v>403</v>
      </c>
      <c r="K72" t="s">
        <v>404</v>
      </c>
      <c r="L72" t="s">
        <v>405</v>
      </c>
      <c r="M72" t="s">
        <v>406</v>
      </c>
      <c r="N72" t="s">
        <v>407</v>
      </c>
      <c r="O72"/>
      <c r="P72"/>
      <c r="Q72"/>
      <c r="R72"/>
    </row>
    <row r="73" spans="1:18">
      <c r="I73" t="s">
        <v>408</v>
      </c>
      <c r="J73" t="s">
        <v>409</v>
      </c>
      <c r="K73" t="s">
        <v>410</v>
      </c>
      <c r="L73" t="s">
        <v>411</v>
      </c>
      <c r="M73" t="s">
        <v>412</v>
      </c>
      <c r="N73"/>
      <c r="O73"/>
      <c r="P73"/>
      <c r="Q73"/>
      <c r="R73"/>
    </row>
    <row r="74" spans="1:18">
      <c r="I74" t="s">
        <v>413</v>
      </c>
      <c r="J74" t="s">
        <v>414</v>
      </c>
      <c r="K74" t="s">
        <v>415</v>
      </c>
      <c r="L74" t="s">
        <v>416</v>
      </c>
      <c r="M74" t="s">
        <v>417</v>
      </c>
      <c r="N74" t="s">
        <v>418</v>
      </c>
      <c r="O74" t="s">
        <v>419</v>
      </c>
      <c r="P74"/>
      <c r="Q74"/>
      <c r="R74"/>
    </row>
    <row r="75" spans="1:18">
      <c r="I75" t="s">
        <v>420</v>
      </c>
      <c r="J75" t="s">
        <v>421</v>
      </c>
      <c r="K75" t="s">
        <v>422</v>
      </c>
      <c r="L75" t="s">
        <v>423</v>
      </c>
      <c r="M75" t="s">
        <v>424</v>
      </c>
      <c r="N75" t="s">
        <v>425</v>
      </c>
      <c r="O75" t="s">
        <v>426</v>
      </c>
      <c r="P75" t="s">
        <v>427</v>
      </c>
      <c r="Q75"/>
      <c r="R75"/>
    </row>
    <row r="76" spans="1:18">
      <c r="I76" t="s">
        <v>428</v>
      </c>
      <c r="J76" t="s">
        <v>429</v>
      </c>
      <c r="K76" t="s">
        <v>430</v>
      </c>
      <c r="L76" t="s">
        <v>431</v>
      </c>
      <c r="M76" t="s">
        <v>432</v>
      </c>
      <c r="N76" t="s">
        <v>433</v>
      </c>
      <c r="O76" t="s">
        <v>434</v>
      </c>
      <c r="P76" t="s">
        <v>435</v>
      </c>
      <c r="Q76" t="s">
        <v>436</v>
      </c>
      <c r="R76"/>
    </row>
    <row r="77" spans="1:18">
      <c r="I77" t="s">
        <v>437</v>
      </c>
      <c r="J77" t="s">
        <v>438</v>
      </c>
      <c r="K77" t="s">
        <v>439</v>
      </c>
      <c r="L77" t="s">
        <v>440</v>
      </c>
      <c r="M77" t="s">
        <v>441</v>
      </c>
      <c r="N77" t="s">
        <v>442</v>
      </c>
      <c r="O77" t="s">
        <v>443</v>
      </c>
      <c r="P77" t="s">
        <v>444</v>
      </c>
      <c r="Q77" t="s">
        <v>445</v>
      </c>
      <c r="R77"/>
    </row>
    <row r="78" spans="1:18">
      <c r="I78" t="s">
        <v>446</v>
      </c>
      <c r="J78" t="s">
        <v>447</v>
      </c>
      <c r="K78" t="s">
        <v>448</v>
      </c>
      <c r="L78" t="s">
        <v>449</v>
      </c>
      <c r="M78" t="s">
        <v>450</v>
      </c>
      <c r="N78"/>
      <c r="O78"/>
      <c r="P78"/>
      <c r="Q78"/>
      <c r="R78"/>
    </row>
    <row r="79" spans="1:18">
      <c r="I79" t="s">
        <v>270</v>
      </c>
      <c r="J79" t="s">
        <v>271</v>
      </c>
      <c r="K79" t="s">
        <v>272</v>
      </c>
      <c r="L79" t="s">
        <v>273</v>
      </c>
      <c r="M79" t="s">
        <v>274</v>
      </c>
      <c r="N79" t="s">
        <v>275</v>
      </c>
      <c r="O79"/>
      <c r="P79"/>
      <c r="Q79"/>
      <c r="R79"/>
    </row>
    <row r="80" spans="1:18">
      <c r="I80" t="s">
        <v>451</v>
      </c>
      <c r="J80" t="s">
        <v>452</v>
      </c>
      <c r="K80" t="s">
        <v>453</v>
      </c>
      <c r="L80" t="s">
        <v>454</v>
      </c>
      <c r="M80" t="s">
        <v>455</v>
      </c>
      <c r="N80" t="s">
        <v>456</v>
      </c>
      <c r="O80"/>
      <c r="P80"/>
      <c r="Q80"/>
      <c r="R80"/>
    </row>
    <row r="81" spans="9:19">
      <c r="I81" t="s">
        <v>457</v>
      </c>
      <c r="J81" t="s">
        <v>458</v>
      </c>
      <c r="K81" t="s">
        <v>459</v>
      </c>
      <c r="L81" t="s">
        <v>460</v>
      </c>
      <c r="M81" t="s">
        <v>461</v>
      </c>
      <c r="N81"/>
      <c r="O81"/>
      <c r="P81"/>
      <c r="Q81"/>
      <c r="R81"/>
    </row>
    <row r="82" spans="9:19">
      <c r="I82" s="310" t="s">
        <v>462</v>
      </c>
      <c r="J82" s="1" t="s">
        <v>463</v>
      </c>
      <c r="K82" s="310" t="s">
        <v>464</v>
      </c>
    </row>
    <row r="83" spans="9:19">
      <c r="I83" s="25" t="s">
        <v>465</v>
      </c>
      <c r="J83" s="25" t="s">
        <v>466</v>
      </c>
      <c r="K83" s="25" t="s">
        <v>467</v>
      </c>
      <c r="L83" s="25" t="s">
        <v>468</v>
      </c>
      <c r="M83" s="25" t="s">
        <v>469</v>
      </c>
      <c r="N83" s="25" t="s">
        <v>470</v>
      </c>
      <c r="O83" s="25" t="s">
        <v>471</v>
      </c>
      <c r="P83" s="25" t="s">
        <v>472</v>
      </c>
      <c r="Q83" s="25" t="s">
        <v>473</v>
      </c>
      <c r="R83" s="25" t="s">
        <v>474</v>
      </c>
      <c r="S83" s="25" t="s">
        <v>475</v>
      </c>
    </row>
    <row r="84" spans="9:19">
      <c r="I84" s="25" t="s">
        <v>476</v>
      </c>
      <c r="J84" s="25" t="s">
        <v>477</v>
      </c>
      <c r="K84" s="25" t="s">
        <v>478</v>
      </c>
      <c r="L84" s="25" t="s">
        <v>479</v>
      </c>
      <c r="M84" s="25" t="s">
        <v>480</v>
      </c>
      <c r="N84" s="25" t="s">
        <v>481</v>
      </c>
      <c r="O84" s="25" t="s">
        <v>482</v>
      </c>
      <c r="P84" s="25" t="s">
        <v>483</v>
      </c>
      <c r="Q84" s="25" t="s">
        <v>484</v>
      </c>
      <c r="R84" s="25" t="s">
        <v>485</v>
      </c>
      <c r="S84" s="25" t="s">
        <v>486</v>
      </c>
    </row>
    <row r="85" spans="9:19">
      <c r="I85" s="25" t="s">
        <v>487</v>
      </c>
      <c r="J85" s="25" t="s">
        <v>488</v>
      </c>
      <c r="K85" s="25" t="s">
        <v>489</v>
      </c>
      <c r="L85" s="25" t="s">
        <v>490</v>
      </c>
      <c r="M85" s="25" t="s">
        <v>491</v>
      </c>
      <c r="N85" s="25" t="s">
        <v>492</v>
      </c>
      <c r="O85" s="25" t="s">
        <v>493</v>
      </c>
      <c r="P85" s="25" t="s">
        <v>494</v>
      </c>
      <c r="Q85" s="25" t="s">
        <v>495</v>
      </c>
      <c r="R85" s="25"/>
      <c r="S85" s="25"/>
    </row>
    <row r="86" spans="9:19">
      <c r="I86" s="25" t="s">
        <v>496</v>
      </c>
      <c r="J86" s="25" t="s">
        <v>497</v>
      </c>
      <c r="K86" s="25" t="s">
        <v>498</v>
      </c>
      <c r="L86" s="25" t="s">
        <v>499</v>
      </c>
      <c r="M86" s="25" t="s">
        <v>500</v>
      </c>
      <c r="N86" s="25" t="s">
        <v>501</v>
      </c>
      <c r="O86" s="25" t="s">
        <v>502</v>
      </c>
      <c r="P86" s="25" t="s">
        <v>503</v>
      </c>
      <c r="Q86" s="25" t="s">
        <v>504</v>
      </c>
      <c r="R86" s="25" t="s">
        <v>505</v>
      </c>
      <c r="S86" s="25"/>
    </row>
    <row r="87" spans="9:19">
      <c r="I87" s="25" t="s">
        <v>506</v>
      </c>
      <c r="J87" s="25" t="s">
        <v>507</v>
      </c>
      <c r="K87" s="25" t="s">
        <v>508</v>
      </c>
      <c r="L87" s="25" t="s">
        <v>509</v>
      </c>
      <c r="M87" s="25" t="s">
        <v>510</v>
      </c>
      <c r="N87" s="25" t="s">
        <v>511</v>
      </c>
      <c r="O87" s="25" t="s">
        <v>512</v>
      </c>
      <c r="P87" s="25" t="s">
        <v>513</v>
      </c>
      <c r="Q87" s="25" t="s">
        <v>514</v>
      </c>
      <c r="R87" s="25" t="s">
        <v>515</v>
      </c>
      <c r="S87" s="25"/>
    </row>
    <row r="88" spans="9:19">
      <c r="I88" s="25" t="s">
        <v>516</v>
      </c>
      <c r="J88" s="25" t="s">
        <v>517</v>
      </c>
      <c r="K88" s="25" t="s">
        <v>518</v>
      </c>
      <c r="L88" s="25" t="s">
        <v>519</v>
      </c>
      <c r="M88" s="25" t="s">
        <v>520</v>
      </c>
      <c r="N88" s="25" t="s">
        <v>521</v>
      </c>
      <c r="O88" s="25" t="s">
        <v>522</v>
      </c>
      <c r="P88" s="25" t="s">
        <v>523</v>
      </c>
      <c r="Q88" s="25" t="s">
        <v>524</v>
      </c>
      <c r="R88" s="25" t="s">
        <v>525</v>
      </c>
      <c r="S88" s="25" t="s">
        <v>526</v>
      </c>
    </row>
    <row r="89" spans="9:19">
      <c r="I89" s="25" t="s">
        <v>527</v>
      </c>
      <c r="J89" s="25" t="s">
        <v>528</v>
      </c>
      <c r="K89" s="25" t="s">
        <v>529</v>
      </c>
      <c r="L89" s="25" t="s">
        <v>530</v>
      </c>
      <c r="M89" s="25" t="s">
        <v>531</v>
      </c>
      <c r="N89" s="25" t="s">
        <v>532</v>
      </c>
      <c r="O89" s="25" t="s">
        <v>533</v>
      </c>
      <c r="P89" s="25" t="s">
        <v>534</v>
      </c>
      <c r="Q89" s="25" t="s">
        <v>535</v>
      </c>
      <c r="R89" s="25" t="s">
        <v>536</v>
      </c>
      <c r="S89" s="25" t="s">
        <v>537</v>
      </c>
    </row>
    <row r="90" spans="9:19">
      <c r="I90" s="25" t="s">
        <v>538</v>
      </c>
      <c r="J90" s="25" t="s">
        <v>539</v>
      </c>
      <c r="K90" s="25" t="s">
        <v>540</v>
      </c>
      <c r="L90" s="25" t="s">
        <v>541</v>
      </c>
      <c r="M90" s="25" t="s">
        <v>542</v>
      </c>
      <c r="N90" s="25" t="s">
        <v>543</v>
      </c>
      <c r="O90" s="25" t="s">
        <v>544</v>
      </c>
      <c r="P90" s="25" t="s">
        <v>545</v>
      </c>
      <c r="Q90" s="25" t="s">
        <v>546</v>
      </c>
      <c r="R90" s="25"/>
      <c r="S90" s="25"/>
    </row>
    <row r="91" spans="9:19">
      <c r="I91" s="25" t="s">
        <v>547</v>
      </c>
      <c r="J91" s="25" t="s">
        <v>548</v>
      </c>
      <c r="K91" s="25" t="s">
        <v>549</v>
      </c>
      <c r="L91" s="25" t="s">
        <v>513</v>
      </c>
      <c r="M91" s="25" t="s">
        <v>550</v>
      </c>
      <c r="N91" s="25" t="s">
        <v>551</v>
      </c>
      <c r="O91" s="25" t="s">
        <v>552</v>
      </c>
      <c r="P91" s="25" t="s">
        <v>553</v>
      </c>
      <c r="Q91" s="25"/>
      <c r="R91" s="25"/>
      <c r="S91" s="25"/>
    </row>
    <row r="92" spans="9:19">
      <c r="I92" s="25" t="s">
        <v>554</v>
      </c>
      <c r="J92" s="25" t="s">
        <v>555</v>
      </c>
      <c r="K92" s="25" t="s">
        <v>556</v>
      </c>
      <c r="L92" s="25" t="s">
        <v>557</v>
      </c>
      <c r="M92" s="25" t="s">
        <v>558</v>
      </c>
      <c r="N92" s="25" t="s">
        <v>559</v>
      </c>
      <c r="O92" s="25" t="s">
        <v>560</v>
      </c>
      <c r="P92" s="25" t="s">
        <v>561</v>
      </c>
      <c r="Q92" s="25" t="s">
        <v>562</v>
      </c>
      <c r="R92" s="25"/>
      <c r="S92" s="25"/>
    </row>
    <row r="93" spans="9:19">
      <c r="I93" s="25" t="s">
        <v>563</v>
      </c>
      <c r="J93" s="25" t="s">
        <v>564</v>
      </c>
      <c r="K93" s="25" t="s">
        <v>565</v>
      </c>
      <c r="L93" s="25" t="s">
        <v>566</v>
      </c>
      <c r="M93" s="25" t="s">
        <v>567</v>
      </c>
      <c r="N93" s="25" t="s">
        <v>568</v>
      </c>
      <c r="O93" s="25" t="s">
        <v>569</v>
      </c>
      <c r="P93" s="25" t="s">
        <v>570</v>
      </c>
      <c r="Q93" s="25" t="s">
        <v>571</v>
      </c>
      <c r="R93" s="25" t="s">
        <v>572</v>
      </c>
      <c r="S93" s="25"/>
    </row>
    <row r="94" spans="9:19">
      <c r="I94" s="25" t="s">
        <v>573</v>
      </c>
      <c r="J94" s="25" t="s">
        <v>574</v>
      </c>
      <c r="K94" s="25" t="s">
        <v>575</v>
      </c>
      <c r="L94" s="25" t="s">
        <v>576</v>
      </c>
      <c r="M94" s="25" t="s">
        <v>577</v>
      </c>
      <c r="N94" s="25" t="s">
        <v>578</v>
      </c>
      <c r="O94" s="25" t="s">
        <v>579</v>
      </c>
      <c r="P94" s="25" t="s">
        <v>580</v>
      </c>
      <c r="Q94" s="25" t="s">
        <v>581</v>
      </c>
      <c r="R94" s="25" t="s">
        <v>582</v>
      </c>
      <c r="S94" s="25" t="s">
        <v>583</v>
      </c>
    </row>
    <row r="95" spans="9:19">
      <c r="I95" s="25" t="s">
        <v>584</v>
      </c>
      <c r="J95" s="25" t="s">
        <v>585</v>
      </c>
      <c r="K95" s="25" t="s">
        <v>586</v>
      </c>
      <c r="L95" s="25" t="s">
        <v>587</v>
      </c>
      <c r="M95" s="25" t="s">
        <v>588</v>
      </c>
      <c r="N95" s="25" t="s">
        <v>589</v>
      </c>
      <c r="O95" s="25" t="s">
        <v>590</v>
      </c>
      <c r="P95" s="25" t="s">
        <v>591</v>
      </c>
      <c r="Q95" s="25" t="s">
        <v>592</v>
      </c>
      <c r="R95" s="25" t="s">
        <v>593</v>
      </c>
      <c r="S95" s="25" t="s">
        <v>594</v>
      </c>
    </row>
    <row r="96" spans="9:19">
      <c r="I96" s="25" t="s">
        <v>595</v>
      </c>
      <c r="J96" s="25" t="s">
        <v>596</v>
      </c>
      <c r="K96" s="25" t="s">
        <v>597</v>
      </c>
      <c r="L96" s="25" t="s">
        <v>598</v>
      </c>
      <c r="M96" s="25" t="s">
        <v>599</v>
      </c>
      <c r="N96" s="25" t="s">
        <v>600</v>
      </c>
      <c r="O96" s="25" t="s">
        <v>601</v>
      </c>
      <c r="P96" s="25"/>
      <c r="Q96" s="25"/>
      <c r="R96" s="25"/>
      <c r="S96" s="25"/>
    </row>
    <row r="97" spans="9:19">
      <c r="I97" s="25" t="s">
        <v>602</v>
      </c>
      <c r="J97" s="25" t="s">
        <v>603</v>
      </c>
      <c r="K97" s="25" t="s">
        <v>604</v>
      </c>
      <c r="L97" s="25" t="s">
        <v>605</v>
      </c>
      <c r="M97" s="25" t="s">
        <v>606</v>
      </c>
      <c r="N97" s="25" t="s">
        <v>607</v>
      </c>
      <c r="O97" s="25" t="s">
        <v>608</v>
      </c>
      <c r="P97" s="25" t="s">
        <v>609</v>
      </c>
      <c r="Q97" s="25" t="s">
        <v>610</v>
      </c>
      <c r="R97" s="25" t="s">
        <v>611</v>
      </c>
      <c r="S97" s="25"/>
    </row>
    <row r="98" spans="9:19">
      <c r="I98" s="25" t="s">
        <v>612</v>
      </c>
      <c r="J98" s="25" t="s">
        <v>613</v>
      </c>
      <c r="K98" s="25" t="s">
        <v>614</v>
      </c>
      <c r="L98" s="25" t="s">
        <v>615</v>
      </c>
      <c r="M98" s="25" t="s">
        <v>616</v>
      </c>
      <c r="N98" s="25" t="s">
        <v>617</v>
      </c>
      <c r="O98" s="25" t="s">
        <v>618</v>
      </c>
      <c r="P98" s="25" t="s">
        <v>619</v>
      </c>
      <c r="Q98" s="25" t="s">
        <v>620</v>
      </c>
      <c r="R98" s="25" t="s">
        <v>621</v>
      </c>
      <c r="S98" s="25" t="s">
        <v>622</v>
      </c>
    </row>
    <row r="99" spans="9:19">
      <c r="I99" s="25" t="s">
        <v>623</v>
      </c>
      <c r="J99" s="25" t="s">
        <v>624</v>
      </c>
      <c r="K99" s="25" t="s">
        <v>625</v>
      </c>
      <c r="L99" s="25" t="s">
        <v>626</v>
      </c>
      <c r="M99" s="25" t="s">
        <v>627</v>
      </c>
      <c r="N99" s="25" t="s">
        <v>628</v>
      </c>
      <c r="O99" s="25" t="s">
        <v>629</v>
      </c>
      <c r="P99" s="25" t="s">
        <v>630</v>
      </c>
      <c r="Q99" s="25" t="s">
        <v>631</v>
      </c>
      <c r="R99" s="25" t="s">
        <v>632</v>
      </c>
      <c r="S99" s="25" t="s">
        <v>633</v>
      </c>
    </row>
    <row r="100" spans="9:19">
      <c r="I100" s="25" t="s">
        <v>634</v>
      </c>
      <c r="J100" s="25" t="s">
        <v>635</v>
      </c>
      <c r="K100" s="25" t="s">
        <v>636</v>
      </c>
      <c r="L100" s="25" t="s">
        <v>637</v>
      </c>
      <c r="M100" s="25" t="s">
        <v>638</v>
      </c>
      <c r="N100" s="25" t="s">
        <v>639</v>
      </c>
      <c r="O100" s="25" t="s">
        <v>640</v>
      </c>
      <c r="P100" s="25" t="s">
        <v>641</v>
      </c>
      <c r="Q100" s="25" t="s">
        <v>642</v>
      </c>
      <c r="R100" s="25"/>
      <c r="S100" s="25"/>
    </row>
    <row r="101" spans="9:19">
      <c r="I101" s="25"/>
      <c r="J101" s="25"/>
      <c r="K101" s="25"/>
      <c r="L101" s="25"/>
      <c r="M101" s="25"/>
      <c r="N101" s="25"/>
      <c r="O101" s="25"/>
      <c r="P101" s="25"/>
      <c r="Q101" s="25"/>
      <c r="R101" s="25"/>
      <c r="S101" s="25"/>
    </row>
    <row r="102" spans="9:19">
      <c r="I102" s="25" t="s">
        <v>643</v>
      </c>
      <c r="J102" s="25" t="s">
        <v>644</v>
      </c>
      <c r="K102" s="25" t="s">
        <v>645</v>
      </c>
      <c r="L102" s="25" t="s">
        <v>646</v>
      </c>
      <c r="M102" s="25" t="s">
        <v>647</v>
      </c>
      <c r="N102" s="25" t="s">
        <v>648</v>
      </c>
      <c r="O102" s="25" t="s">
        <v>649</v>
      </c>
      <c r="P102" s="25" t="s">
        <v>650</v>
      </c>
      <c r="Q102" s="25" t="s">
        <v>651</v>
      </c>
      <c r="R102" s="25" t="s">
        <v>652</v>
      </c>
      <c r="S102" s="25" t="s">
        <v>653</v>
      </c>
    </row>
    <row r="103" spans="9:19">
      <c r="I103" s="25" t="s">
        <v>654</v>
      </c>
      <c r="J103" s="25" t="s">
        <v>655</v>
      </c>
      <c r="K103" s="25" t="s">
        <v>656</v>
      </c>
      <c r="L103" s="25" t="s">
        <v>657</v>
      </c>
      <c r="M103" s="25" t="s">
        <v>658</v>
      </c>
      <c r="N103" s="25" t="s">
        <v>659</v>
      </c>
      <c r="O103" s="25" t="s">
        <v>660</v>
      </c>
      <c r="P103" s="25" t="s">
        <v>661</v>
      </c>
      <c r="Q103" s="25" t="s">
        <v>662</v>
      </c>
      <c r="R103" s="25" t="s">
        <v>663</v>
      </c>
      <c r="S103" s="25" t="s">
        <v>664</v>
      </c>
    </row>
    <row r="104" spans="9:19">
      <c r="I104" s="25" t="s">
        <v>665</v>
      </c>
      <c r="J104" s="25" t="s">
        <v>666</v>
      </c>
      <c r="K104" s="25" t="s">
        <v>667</v>
      </c>
      <c r="L104" s="25" t="s">
        <v>668</v>
      </c>
      <c r="M104" s="25" t="s">
        <v>669</v>
      </c>
      <c r="N104" s="25" t="s">
        <v>670</v>
      </c>
      <c r="O104" s="25" t="s">
        <v>671</v>
      </c>
      <c r="P104" s="25" t="s">
        <v>672</v>
      </c>
      <c r="Q104" s="25" t="s">
        <v>673</v>
      </c>
      <c r="R104" s="25"/>
      <c r="S104" s="25"/>
    </row>
    <row r="105" spans="9:19">
      <c r="I105" s="25" t="s">
        <v>674</v>
      </c>
      <c r="J105" s="25" t="s">
        <v>675</v>
      </c>
      <c r="K105" s="25" t="s">
        <v>676</v>
      </c>
      <c r="L105" s="25" t="s">
        <v>677</v>
      </c>
      <c r="M105" s="25" t="s">
        <v>678</v>
      </c>
      <c r="N105" s="25" t="s">
        <v>679</v>
      </c>
      <c r="O105" s="25" t="s">
        <v>680</v>
      </c>
      <c r="P105" s="25" t="s">
        <v>681</v>
      </c>
      <c r="Q105" s="25" t="s">
        <v>682</v>
      </c>
      <c r="R105" s="25" t="s">
        <v>683</v>
      </c>
      <c r="S105" s="25"/>
    </row>
    <row r="106" spans="9:19">
      <c r="I106" s="310" t="s">
        <v>684</v>
      </c>
      <c r="J106" s="1" t="s">
        <v>685</v>
      </c>
      <c r="K106" s="310" t="s">
        <v>686</v>
      </c>
      <c r="L106" s="1" t="s">
        <v>687</v>
      </c>
      <c r="M106" s="1" t="s">
        <v>688</v>
      </c>
      <c r="N106" s="1" t="s">
        <v>689</v>
      </c>
      <c r="O106" s="1" t="s">
        <v>690</v>
      </c>
      <c r="P106" s="1" t="s">
        <v>691</v>
      </c>
      <c r="Q106" s="1" t="s">
        <v>692</v>
      </c>
      <c r="R106" s="1" t="s">
        <v>693</v>
      </c>
      <c r="S106" s="25"/>
    </row>
    <row r="107" spans="9:19">
      <c r="I107" s="310" t="s">
        <v>694</v>
      </c>
      <c r="J107" s="1" t="s">
        <v>695</v>
      </c>
      <c r="K107" s="310" t="s">
        <v>696</v>
      </c>
      <c r="L107" s="1" t="s">
        <v>697</v>
      </c>
      <c r="M107" s="1" t="s">
        <v>698</v>
      </c>
      <c r="N107" s="1" t="s">
        <v>699</v>
      </c>
      <c r="O107" s="1" t="s">
        <v>700</v>
      </c>
      <c r="P107" s="1" t="s">
        <v>701</v>
      </c>
      <c r="Q107" s="1" t="s">
        <v>702</v>
      </c>
      <c r="R107" s="1" t="s">
        <v>703</v>
      </c>
      <c r="S107" s="25" t="s">
        <v>704</v>
      </c>
    </row>
    <row r="108" spans="9:19">
      <c r="I108" s="310" t="s">
        <v>705</v>
      </c>
      <c r="J108" s="1" t="s">
        <v>706</v>
      </c>
      <c r="K108" s="310" t="s">
        <v>707</v>
      </c>
      <c r="L108" s="1" t="s">
        <v>708</v>
      </c>
      <c r="M108" s="1" t="s">
        <v>709</v>
      </c>
      <c r="N108" s="1" t="s">
        <v>710</v>
      </c>
      <c r="O108" s="1" t="s">
        <v>711</v>
      </c>
      <c r="P108" s="1" t="s">
        <v>712</v>
      </c>
      <c r="Q108" s="1" t="s">
        <v>713</v>
      </c>
      <c r="R108" s="1" t="s">
        <v>714</v>
      </c>
      <c r="S108" s="25" t="s">
        <v>715</v>
      </c>
    </row>
    <row r="109" spans="9:19">
      <c r="I109" s="310" t="s">
        <v>716</v>
      </c>
      <c r="J109" s="1" t="s">
        <v>717</v>
      </c>
      <c r="K109" s="310" t="s">
        <v>718</v>
      </c>
      <c r="L109" s="1" t="s">
        <v>719</v>
      </c>
      <c r="M109" s="1" t="s">
        <v>720</v>
      </c>
      <c r="N109" s="1" t="s">
        <v>721</v>
      </c>
      <c r="O109" s="1" t="s">
        <v>722</v>
      </c>
      <c r="P109" s="1" t="s">
        <v>723</v>
      </c>
      <c r="Q109" s="1" t="s">
        <v>724</v>
      </c>
      <c r="S109" s="25"/>
    </row>
    <row r="110" spans="9:19">
      <c r="I110" s="310" t="s">
        <v>725</v>
      </c>
      <c r="J110" s="1" t="s">
        <v>726</v>
      </c>
      <c r="K110" s="310" t="s">
        <v>727</v>
      </c>
      <c r="L110" s="1" t="s">
        <v>728</v>
      </c>
      <c r="M110" s="1" t="s">
        <v>729</v>
      </c>
      <c r="N110" s="1" t="s">
        <v>730</v>
      </c>
      <c r="O110" s="1" t="s">
        <v>731</v>
      </c>
      <c r="P110" s="1" t="s">
        <v>732</v>
      </c>
      <c r="S110" s="25"/>
    </row>
    <row r="111" spans="9:19">
      <c r="I111" s="310" t="s">
        <v>733</v>
      </c>
      <c r="J111" s="1" t="s">
        <v>734</v>
      </c>
      <c r="K111" s="310" t="s">
        <v>735</v>
      </c>
      <c r="L111" s="1" t="s">
        <v>736</v>
      </c>
      <c r="M111" s="1" t="s">
        <v>737</v>
      </c>
      <c r="N111" s="1" t="s">
        <v>738</v>
      </c>
      <c r="O111" s="1" t="s">
        <v>739</v>
      </c>
      <c r="P111" s="1" t="s">
        <v>740</v>
      </c>
      <c r="Q111" s="1" t="s">
        <v>741</v>
      </c>
      <c r="S111" s="25"/>
    </row>
    <row r="112" spans="9:19">
      <c r="I112" s="310" t="s">
        <v>742</v>
      </c>
      <c r="J112" s="1" t="s">
        <v>743</v>
      </c>
      <c r="K112" s="310" t="s">
        <v>744</v>
      </c>
      <c r="L112" s="1" t="s">
        <v>745</v>
      </c>
      <c r="M112" s="1" t="s">
        <v>746</v>
      </c>
      <c r="N112" s="1" t="s">
        <v>747</v>
      </c>
      <c r="O112" s="1" t="s">
        <v>748</v>
      </c>
      <c r="P112" s="1" t="s">
        <v>749</v>
      </c>
      <c r="Q112" s="1" t="s">
        <v>750</v>
      </c>
      <c r="R112" s="1" t="s">
        <v>751</v>
      </c>
      <c r="S112" s="25"/>
    </row>
    <row r="113" spans="9:19">
      <c r="I113" s="310" t="s">
        <v>752</v>
      </c>
      <c r="J113" s="1" t="s">
        <v>753</v>
      </c>
      <c r="K113" s="310" t="s">
        <v>754</v>
      </c>
      <c r="L113" s="1" t="s">
        <v>755</v>
      </c>
      <c r="M113" s="1" t="s">
        <v>756</v>
      </c>
      <c r="N113" s="1" t="s">
        <v>757</v>
      </c>
      <c r="O113" s="1" t="s">
        <v>758</v>
      </c>
      <c r="P113" s="1" t="s">
        <v>759</v>
      </c>
      <c r="Q113" s="1" t="s">
        <v>760</v>
      </c>
      <c r="R113" s="1" t="s">
        <v>761</v>
      </c>
      <c r="S113" s="25" t="s">
        <v>762</v>
      </c>
    </row>
    <row r="114" spans="9:19">
      <c r="I114" s="310" t="s">
        <v>763</v>
      </c>
      <c r="J114" s="1" t="s">
        <v>764</v>
      </c>
      <c r="K114" s="310" t="s">
        <v>765</v>
      </c>
      <c r="L114" s="1" t="s">
        <v>766</v>
      </c>
      <c r="M114" s="1" t="s">
        <v>767</v>
      </c>
      <c r="N114" s="1" t="s">
        <v>768</v>
      </c>
      <c r="O114" s="1" t="s">
        <v>769</v>
      </c>
      <c r="P114" s="1" t="s">
        <v>770</v>
      </c>
      <c r="Q114" s="1" t="s">
        <v>771</v>
      </c>
      <c r="R114" s="1" t="s">
        <v>772</v>
      </c>
      <c r="S114" s="25" t="s">
        <v>773</v>
      </c>
    </row>
    <row r="115" spans="9:19">
      <c r="I115" s="310" t="s">
        <v>774</v>
      </c>
      <c r="J115" s="1" t="s">
        <v>775</v>
      </c>
      <c r="K115" s="310" t="s">
        <v>776</v>
      </c>
      <c r="L115" s="1" t="s">
        <v>777</v>
      </c>
      <c r="M115" s="1" t="s">
        <v>778</v>
      </c>
      <c r="N115" s="1" t="s">
        <v>779</v>
      </c>
      <c r="O115" s="1" t="s">
        <v>780</v>
      </c>
      <c r="S115" s="25"/>
    </row>
    <row r="116" spans="9:19">
      <c r="I116" s="310" t="s">
        <v>781</v>
      </c>
      <c r="J116" s="1" t="s">
        <v>782</v>
      </c>
      <c r="K116" s="310" t="s">
        <v>783</v>
      </c>
      <c r="L116" s="1" t="s">
        <v>784</v>
      </c>
      <c r="M116" s="1" t="s">
        <v>785</v>
      </c>
      <c r="N116" s="1" t="s">
        <v>786</v>
      </c>
      <c r="O116" s="1" t="s">
        <v>787</v>
      </c>
      <c r="P116" s="1" t="s">
        <v>788</v>
      </c>
      <c r="Q116" s="1" t="s">
        <v>789</v>
      </c>
      <c r="R116" s="1" t="s">
        <v>790</v>
      </c>
      <c r="S116" s="25"/>
    </row>
    <row r="117" spans="9:19">
      <c r="I117" s="310" t="s">
        <v>791</v>
      </c>
      <c r="J117" s="1" t="s">
        <v>792</v>
      </c>
      <c r="K117" s="310" t="s">
        <v>793</v>
      </c>
      <c r="L117" s="1" t="s">
        <v>794</v>
      </c>
      <c r="M117" s="1" t="s">
        <v>795</v>
      </c>
      <c r="N117" s="1" t="s">
        <v>796</v>
      </c>
      <c r="O117" s="1" t="s">
        <v>797</v>
      </c>
      <c r="P117" s="1" t="s">
        <v>798</v>
      </c>
      <c r="Q117" s="1" t="s">
        <v>799</v>
      </c>
      <c r="R117" s="1" t="s">
        <v>800</v>
      </c>
      <c r="S117" s="25" t="s">
        <v>801</v>
      </c>
    </row>
    <row r="118" spans="9:19">
      <c r="I118" s="310" t="s">
        <v>802</v>
      </c>
      <c r="J118" s="1" t="s">
        <v>803</v>
      </c>
      <c r="K118" s="310" t="s">
        <v>804</v>
      </c>
      <c r="L118" s="1" t="s">
        <v>805</v>
      </c>
      <c r="M118" s="1" t="s">
        <v>806</v>
      </c>
      <c r="N118" s="1" t="s">
        <v>807</v>
      </c>
      <c r="O118" s="1" t="s">
        <v>808</v>
      </c>
      <c r="P118" s="1" t="s">
        <v>809</v>
      </c>
      <c r="Q118" s="1" t="s">
        <v>810</v>
      </c>
      <c r="R118" s="1" t="s">
        <v>811</v>
      </c>
      <c r="S118" s="25" t="s">
        <v>812</v>
      </c>
    </row>
    <row r="119" spans="9:19">
      <c r="I119" s="310" t="s">
        <v>813</v>
      </c>
      <c r="J119" s="1" t="s">
        <v>814</v>
      </c>
      <c r="K119" s="310" t="s">
        <v>815</v>
      </c>
      <c r="L119" s="1" t="s">
        <v>816</v>
      </c>
      <c r="M119" s="1" t="s">
        <v>817</v>
      </c>
      <c r="N119" s="1" t="s">
        <v>818</v>
      </c>
      <c r="O119" s="1" t="s">
        <v>819</v>
      </c>
      <c r="P119" s="1" t="s">
        <v>820</v>
      </c>
      <c r="Q119" s="1" t="s">
        <v>821</v>
      </c>
    </row>
    <row r="120" spans="9:19">
      <c r="I120" s="310"/>
      <c r="K120" s="310"/>
    </row>
    <row r="121" spans="9:19">
      <c r="I121" s="310" t="str">
        <f>_xlfn.CONCAT(I83,$J$82,I102)</f>
        <v>小区分60010_情報学基礎論関連_Fundamentals_of_Informatics</v>
      </c>
      <c r="J121" s="310" t="str">
        <f t="shared" ref="J121:S136" si="0">_xlfn.CONCAT(J83,$I$82,J102)</f>
        <v>離散構造/Discrete Structure</v>
      </c>
      <c r="K121" s="310" t="str">
        <f t="shared" si="0"/>
        <v>数理論理学/Mathematical Logic</v>
      </c>
      <c r="L121" s="310" t="str">
        <f t="shared" si="0"/>
        <v>計算理論/Computational Theory</v>
      </c>
      <c r="M121" s="310" t="str">
        <f t="shared" si="0"/>
        <v>プログラム理論/Program Theory</v>
      </c>
      <c r="N121" s="310" t="str">
        <f t="shared" si="0"/>
        <v>計算量理論/Computation quantity Theory</v>
      </c>
      <c r="O121" s="310" t="str">
        <f t="shared" si="0"/>
        <v>アルゴリズム理論/Algorithm Theory</v>
      </c>
      <c r="P121" s="310" t="str">
        <f t="shared" si="0"/>
        <v>情報理論/Information Theory</v>
      </c>
      <c r="Q121" s="310" t="str">
        <f t="shared" si="0"/>
        <v>符号理論/Sign Theory</v>
      </c>
      <c r="R121" s="310" t="str">
        <f t="shared" si="0"/>
        <v>暗号理論/Cryptology</v>
      </c>
      <c r="S121" s="310" t="str">
        <f t="shared" si="0"/>
        <v>学習理論/Learning Theory</v>
      </c>
    </row>
    <row r="122" spans="9:19">
      <c r="I122" s="310" t="str">
        <f t="shared" ref="I122:I138" si="1">_xlfn.CONCAT(I84,$J$82,I103)</f>
        <v>小区分60020_数理情報学関連_Mathematical_Informatics</v>
      </c>
      <c r="J122" s="310" t="str">
        <f t="shared" si="0"/>
        <v>最適化理論/Optimization Theory</v>
      </c>
      <c r="K122" s="310" t="str">
        <f t="shared" si="0"/>
        <v>数理システム理論/Mathematical Systems Theory</v>
      </c>
      <c r="L122" s="310" t="str">
        <f t="shared" si="0"/>
        <v>システム制御理論/System Control Theory</v>
      </c>
      <c r="M122" s="310" t="str">
        <f t="shared" si="0"/>
        <v>システム分析/Systems Analysis</v>
      </c>
      <c r="N122" s="310" t="str">
        <f t="shared" si="0"/>
        <v>システム方法論/Systems Methodology</v>
      </c>
      <c r="O122" s="310" t="str">
        <f t="shared" si="0"/>
        <v>システムモデリング/Systems Modeling</v>
      </c>
      <c r="P122" s="310" t="str">
        <f t="shared" si="0"/>
        <v>システムシミュレーション/System Simulation</v>
      </c>
      <c r="Q122" s="310" t="str">
        <f t="shared" si="0"/>
        <v>組合せ最適化/Combinatorial Optimization</v>
      </c>
      <c r="R122" s="310" t="str">
        <f t="shared" si="0"/>
        <v>待ち行列論/Queueing Theory</v>
      </c>
      <c r="S122" s="310" t="str">
        <f t="shared" si="0"/>
        <v>数理ファイナンス/Mathematical Finance</v>
      </c>
    </row>
    <row r="123" spans="9:19">
      <c r="I123" s="310" t="str">
        <f t="shared" si="1"/>
        <v>小区分60030_統計科学関連_Statistical_Science</v>
      </c>
      <c r="J123" s="310" t="str">
        <f t="shared" si="0"/>
        <v>統計学/Statistics</v>
      </c>
      <c r="K123" s="310" t="str">
        <f t="shared" si="0"/>
        <v>データサイエンス/Data Science</v>
      </c>
      <c r="L123" s="310" t="str">
        <f t="shared" si="0"/>
        <v>モデル化/Modeling</v>
      </c>
      <c r="M123" s="310" t="str">
        <f t="shared" si="0"/>
        <v>統計的推測/Statistical Inference</v>
      </c>
      <c r="N123" s="310" t="str">
        <f t="shared" si="0"/>
        <v>多変量解析/Multivariate Analysis</v>
      </c>
      <c r="O123" s="310" t="str">
        <f t="shared" si="0"/>
        <v>時系列解析/Time Series Analysis</v>
      </c>
      <c r="P123" s="310" t="str">
        <f t="shared" si="0"/>
        <v>統計的品質管理/Statistical Quality Control</v>
      </c>
      <c r="Q123" s="310" t="str">
        <f t="shared" si="0"/>
        <v>応用統計学/Applied Statistics</v>
      </c>
      <c r="R123" s="310"/>
      <c r="S123" s="310"/>
    </row>
    <row r="124" spans="9:19">
      <c r="I124" s="310" t="str">
        <f t="shared" si="1"/>
        <v>小区分60040_計算機システム関連_Computer_Systems</v>
      </c>
      <c r="J124" s="310" t="str">
        <f t="shared" si="0"/>
        <v>計算機アーキテクチャ/Computer Architecture</v>
      </c>
      <c r="K124" s="310" t="str">
        <f t="shared" si="0"/>
        <v>回路とシステム/Circuits and Systems</v>
      </c>
      <c r="L124" s="310" t="str">
        <f t="shared" si="0"/>
        <v>ＬＳＩ設計/LSI Design</v>
      </c>
      <c r="M124" s="310" t="str">
        <f t="shared" si="0"/>
        <v>ＬＳＩテスト/LSI Testing</v>
      </c>
      <c r="N124" s="310" t="str">
        <f t="shared" si="0"/>
        <v>リコンフィギャラブルシステム/Reconfigurable Systems</v>
      </c>
      <c r="O124" s="310" t="str">
        <f t="shared" si="0"/>
        <v>ディペンダブルアーキテクチャ/Dependable Architecture</v>
      </c>
      <c r="P124" s="310" t="str">
        <f t="shared" si="0"/>
        <v>低消費電力技術/Low Power Technology</v>
      </c>
      <c r="Q124" s="310" t="str">
        <f t="shared" si="0"/>
        <v>ハードウェア・ソフトウェア協調設計/Hardware/Software Co-Design</v>
      </c>
      <c r="R124" s="310" t="str">
        <f t="shared" si="0"/>
        <v>組込みシステム/Embedded Systems</v>
      </c>
      <c r="S124" s="310"/>
    </row>
    <row r="125" spans="9:19">
      <c r="I125" s="310" t="str">
        <f t="shared" si="1"/>
        <v>小区分60050_ソフトウェア関連_Software</v>
      </c>
      <c r="J125" s="310" t="str">
        <f t="shared" si="0"/>
        <v>プログラミング言語/Programming Languages</v>
      </c>
      <c r="K125" s="310" t="str">
        <f t="shared" si="0"/>
        <v>プログラミング方法論/Programming Methodology</v>
      </c>
      <c r="L125" s="310" t="str">
        <f t="shared" si="0"/>
        <v>オペレーティングシステム/Operating Systems</v>
      </c>
      <c r="M125" s="310" t="str">
        <f t="shared" si="0"/>
        <v>並列分散処理/Parallel and Distributed Processing</v>
      </c>
      <c r="N125" s="310" t="str">
        <f t="shared" si="0"/>
        <v>ソフトウェア工学/Software Engineering</v>
      </c>
      <c r="O125" s="310" t="str">
        <f t="shared" si="0"/>
        <v>仮想化技術/Virtualization technology</v>
      </c>
      <c r="P125" s="310" t="str">
        <f t="shared" si="0"/>
        <v>クラウドコンピューティング/Cloud Computing</v>
      </c>
      <c r="Q125" s="310" t="str">
        <f t="shared" si="0"/>
        <v>ソフトウェアディペンダビリティ/Software Dependability</v>
      </c>
      <c r="R125" s="310" t="str">
        <f t="shared" si="0"/>
        <v>ソフトウェアセキュリティ/Software Security</v>
      </c>
      <c r="S125" s="310"/>
    </row>
    <row r="126" spans="9:19">
      <c r="I126" s="310" t="str">
        <f t="shared" si="1"/>
        <v>小区分60060_情報ネットワーク関連_Information_Networking</v>
      </c>
      <c r="J126" s="310" t="str">
        <f t="shared" si="0"/>
        <v>ネットワークアーキテクチャ/Network Architecture</v>
      </c>
      <c r="K126" s="310" t="str">
        <f t="shared" si="0"/>
        <v>ネットワークプロトコル/Network Protocols</v>
      </c>
      <c r="L126" s="310" t="str">
        <f t="shared" si="0"/>
        <v>インターネット/Internet</v>
      </c>
      <c r="M126" s="310" t="str">
        <f t="shared" si="0"/>
        <v>モバイルネットワーク/Mobile Networking</v>
      </c>
      <c r="N126" s="310" t="str">
        <f t="shared" si="0"/>
        <v>パーベイシブコンピューティング/Pervasive Computing</v>
      </c>
      <c r="O126" s="310" t="str">
        <f t="shared" si="0"/>
        <v>センサーネットワーク/Sensor Networks</v>
      </c>
      <c r="P126" s="310" t="str">
        <f t="shared" si="0"/>
        <v>ＩｏＴ/IoT</v>
      </c>
      <c r="Q126" s="310" t="str">
        <f t="shared" si="0"/>
        <v>トラフィックエンジニアリング/Traffic Engineering</v>
      </c>
      <c r="R126" s="310" t="str">
        <f t="shared" si="0"/>
        <v>ネットワーク管理/Network Management</v>
      </c>
      <c r="S126" s="310" t="str">
        <f t="shared" si="0"/>
        <v>サービス構築基盤技術/Service Construction Infrastructure Technology</v>
      </c>
    </row>
    <row r="127" spans="9:19">
      <c r="I127" s="310" t="str">
        <f t="shared" si="1"/>
        <v>小区分60070_情報セキュリティ関連_Information_Security</v>
      </c>
      <c r="J127" s="310" t="str">
        <f t="shared" si="0"/>
        <v>暗号/Cryptography</v>
      </c>
      <c r="K127" s="310" t="str">
        <f t="shared" si="0"/>
        <v>耐タンパー技術/Tamper-resistant technology</v>
      </c>
      <c r="L127" s="310" t="str">
        <f t="shared" si="0"/>
        <v>認証/Authentication</v>
      </c>
      <c r="M127" s="310" t="str">
        <f t="shared" si="0"/>
        <v>バイオメトリクス/Biometrics</v>
      </c>
      <c r="N127" s="310" t="str">
        <f t="shared" si="0"/>
        <v>アクセス制御/Access Control</v>
      </c>
      <c r="O127" s="310" t="str">
        <f t="shared" si="0"/>
        <v>マルウェア対策/Anti-malware</v>
      </c>
      <c r="P127" s="310" t="str">
        <f t="shared" si="0"/>
        <v>サイバー攻撃対策/Cyber Attack Prevention</v>
      </c>
      <c r="Q127" s="310" t="str">
        <f t="shared" si="0"/>
        <v>プライバシー保護/Privacy Protection</v>
      </c>
      <c r="R127" s="310" t="str">
        <f t="shared" si="0"/>
        <v>ディジタルフォレンジクス/Digital forensics</v>
      </c>
      <c r="S127" s="310" t="str">
        <f t="shared" si="0"/>
        <v>セキュリティ評価認証/Security Evaluation and Certification</v>
      </c>
    </row>
    <row r="128" spans="9:19">
      <c r="I128" s="310" t="str">
        <f t="shared" si="1"/>
        <v>小区分60080_データベース関連_Database</v>
      </c>
      <c r="J128" s="310" t="str">
        <f t="shared" si="0"/>
        <v>データモデル/Data Models</v>
      </c>
      <c r="K128" s="310" t="str">
        <f t="shared" si="0"/>
        <v>データベースシステム/Database Systems</v>
      </c>
      <c r="L128" s="310" t="str">
        <f t="shared" si="0"/>
        <v>マルチメディアデータベース/Multimedia Database</v>
      </c>
      <c r="M128" s="310" t="str">
        <f t="shared" si="0"/>
        <v>情報検索/Information Retrieval</v>
      </c>
      <c r="N128" s="310" t="str">
        <f t="shared" si="0"/>
        <v>コンテンツ管理/Content Management</v>
      </c>
      <c r="O128" s="310" t="str">
        <f t="shared" si="0"/>
        <v>メタデータ/Metadata</v>
      </c>
      <c r="P128" s="310" t="str">
        <f t="shared" si="0"/>
        <v>ビッグデータ/Big Data</v>
      </c>
      <c r="Q128" s="310" t="str">
        <f t="shared" si="0"/>
        <v>地理情報システム/Geographic Information Systems</v>
      </c>
      <c r="R128" s="310"/>
      <c r="S128" s="310"/>
    </row>
    <row r="129" spans="9:19">
      <c r="I129" s="310" t="str">
        <f t="shared" si="1"/>
        <v>小区分60090_高性能計算関連_High_Performance_Computing</v>
      </c>
      <c r="J129" s="310" t="str">
        <f t="shared" si="0"/>
        <v>並列処理/Parallel Processing</v>
      </c>
      <c r="K129" s="310" t="str">
        <f t="shared" si="0"/>
        <v>分散処理/Distributed Processing</v>
      </c>
      <c r="L129" s="310" t="str">
        <f t="shared" si="0"/>
        <v>クラウドコンピューティング/Cloud computing</v>
      </c>
      <c r="M129" s="310" t="str">
        <f t="shared" si="0"/>
        <v>数値解析/Numerical Analysis</v>
      </c>
      <c r="N129" s="310" t="str">
        <f t="shared" si="0"/>
        <v>可視化/Visualization</v>
      </c>
      <c r="O129" s="310" t="str">
        <f t="shared" si="0"/>
        <v>コンピュータグラフィクス/Computer Graphics</v>
      </c>
      <c r="P129" s="310" t="str">
        <f t="shared" si="0"/>
        <v>高性能計算アプリケーション/High-performance computing applications</v>
      </c>
      <c r="Q129" s="310"/>
      <c r="R129" s="310"/>
      <c r="S129" s="310"/>
    </row>
    <row r="130" spans="9:19">
      <c r="I130" s="310" t="str">
        <f t="shared" si="1"/>
        <v>小区分60100_計算科学関連_Computational_Science</v>
      </c>
      <c r="J130" s="310" t="str">
        <f t="shared" si="0"/>
        <v>数理工学/Mathematical Engineering</v>
      </c>
      <c r="K130" s="310" t="str">
        <f t="shared" si="0"/>
        <v>計算力学/Computational Mechanics</v>
      </c>
      <c r="L130" s="310" t="str">
        <f t="shared" si="0"/>
        <v>数値シミュレーション/Numerical simulation</v>
      </c>
      <c r="M130" s="310" t="str">
        <f t="shared" si="0"/>
        <v>マルチスケール/Multiscale</v>
      </c>
      <c r="N130" s="310" t="str">
        <f t="shared" si="0"/>
        <v>大規模計算/Large-Scale Computing</v>
      </c>
      <c r="O130" s="310" t="str">
        <f t="shared" si="0"/>
        <v>超並列計算/Massively Parallel Computing</v>
      </c>
      <c r="P130" s="310" t="str">
        <f t="shared" si="0"/>
        <v>数値計算手法/Numerical Methods</v>
      </c>
      <c r="Q130" s="310" t="str">
        <f t="shared" si="0"/>
        <v>先進アルゴリズム/Advanced Algorithms</v>
      </c>
      <c r="R130" s="310"/>
      <c r="S130" s="310"/>
    </row>
    <row r="131" spans="9:19">
      <c r="I131" s="310" t="str">
        <f t="shared" si="1"/>
        <v>小区分61010_知覚情報処理関連_Perceptual_Information_Processing</v>
      </c>
      <c r="J131" s="310" t="str">
        <f t="shared" si="0"/>
        <v>パターン認識/Pattern Recognition</v>
      </c>
      <c r="K131" s="310" t="str">
        <f t="shared" si="0"/>
        <v>画像処理/Image Processing</v>
      </c>
      <c r="L131" s="310" t="str">
        <f t="shared" si="0"/>
        <v>コンピュータビジョン/Computer Vision</v>
      </c>
      <c r="M131" s="310" t="str">
        <f t="shared" si="0"/>
        <v>視覚メディア処理/Visual Media Processing</v>
      </c>
      <c r="N131" s="310" t="str">
        <f t="shared" si="0"/>
        <v>音メディア処理/Acoustic Media Processing</v>
      </c>
      <c r="O131" s="310" t="str">
        <f t="shared" si="0"/>
        <v>メディア編集/Media Editing</v>
      </c>
      <c r="P131" s="310" t="str">
        <f t="shared" si="0"/>
        <v>メディアデータベース/Media Databases</v>
      </c>
      <c r="Q131" s="310" t="str">
        <f t="shared" si="0"/>
        <v>センシング/Sensing</v>
      </c>
      <c r="R131" s="310" t="str">
        <f t="shared" si="0"/>
        <v>センサ融合/Sensor Fusion</v>
      </c>
      <c r="S131" s="310"/>
    </row>
    <row r="132" spans="9:19">
      <c r="I132" s="310" t="str">
        <f t="shared" si="1"/>
        <v>小区分61020_ヒューマンインタフェースおよびインタラクション関連_Human_Interface_and_Interaction</v>
      </c>
      <c r="J132" s="310" t="str">
        <f t="shared" si="0"/>
        <v>ヒューマンインタフェース/Human Interface</v>
      </c>
      <c r="K132" s="310" t="str">
        <f t="shared" si="0"/>
        <v>マルチモーダルインタフェース/Multimodal Interfaces</v>
      </c>
      <c r="L132" s="310" t="str">
        <f t="shared" si="0"/>
        <v>ヒューマンコンピュータインタラクション/Human-computer interaction</v>
      </c>
      <c r="M132" s="310" t="str">
        <f t="shared" si="0"/>
        <v>協同作業環境/Collaborative Environments</v>
      </c>
      <c r="N132" s="310" t="str">
        <f t="shared" si="0"/>
        <v>バーチャルリアリティ/Virtual Reality</v>
      </c>
      <c r="O132" s="310" t="str">
        <f t="shared" si="0"/>
        <v>拡張現実/Augmented Reality</v>
      </c>
      <c r="P132" s="310" t="str">
        <f t="shared" si="0"/>
        <v>臨場感コミュニケーション/Realistic Communication</v>
      </c>
      <c r="Q132" s="310" t="str">
        <f t="shared" si="0"/>
        <v>ウェアラブル機器/Wearable Devices</v>
      </c>
      <c r="R132" s="310" t="str">
        <f t="shared" si="0"/>
        <v>ユーザビリティ/Usability</v>
      </c>
      <c r="S132" s="310" t="str">
        <f t="shared" si="0"/>
        <v>人間工学/Ergonomics</v>
      </c>
    </row>
    <row r="133" spans="9:19">
      <c r="I133" s="310" t="str">
        <f t="shared" si="1"/>
        <v>小区分61030_知能情報学関連_Intelligent_Informatics</v>
      </c>
      <c r="J133" s="310" t="str">
        <f t="shared" si="0"/>
        <v>探索/Search</v>
      </c>
      <c r="K133" s="310" t="str">
        <f t="shared" si="0"/>
        <v>推論/Reasoning</v>
      </c>
      <c r="L133" s="310" t="str">
        <f t="shared" si="0"/>
        <v>機械学習/Machine Learning</v>
      </c>
      <c r="M133" s="310" t="str">
        <f t="shared" si="0"/>
        <v>知識獲得/Knowledge Acquisition</v>
      </c>
      <c r="N133" s="310" t="str">
        <f t="shared" si="0"/>
        <v>知的システム/Intelligent Systems</v>
      </c>
      <c r="O133" s="310" t="str">
        <f t="shared" si="0"/>
        <v>知能情報処理/Intelligent information processing</v>
      </c>
      <c r="P133" s="310" t="str">
        <f t="shared" si="0"/>
        <v>自然言語処理/Natural Language Processing</v>
      </c>
      <c r="Q133" s="310" t="str">
        <f t="shared" si="0"/>
        <v>データマイニング/Data Mining</v>
      </c>
      <c r="R133" s="310" t="str">
        <f t="shared" si="0"/>
        <v>オントロジー/Ontology</v>
      </c>
      <c r="S133" s="310" t="str">
        <f t="shared" si="0"/>
        <v>エージェントシステム/Agent Systems</v>
      </c>
    </row>
    <row r="134" spans="9:19">
      <c r="I134" s="310" t="str">
        <f t="shared" si="1"/>
        <v>小区分61040_ソフトコンピューティング関連_Soft_Computing</v>
      </c>
      <c r="J134" s="310" t="str">
        <f t="shared" si="0"/>
        <v>ニューラルネットワーク/Neural Networks</v>
      </c>
      <c r="K134" s="310" t="str">
        <f t="shared" si="0"/>
        <v>進化計算/Evolutionary Computation</v>
      </c>
      <c r="L134" s="310" t="str">
        <f t="shared" si="0"/>
        <v>ファジィ理論/Fuzzy Theory</v>
      </c>
      <c r="M134" s="310" t="str">
        <f t="shared" si="0"/>
        <v>カオス/Chaos</v>
      </c>
      <c r="N134" s="310" t="str">
        <f t="shared" si="0"/>
        <v>複雑系/Complex Systems</v>
      </c>
      <c r="O134" s="310" t="str">
        <f t="shared" si="0"/>
        <v>確率的情報処理/Probabilistic Information Processing</v>
      </c>
      <c r="P134" s="310"/>
      <c r="Q134" s="310"/>
      <c r="R134" s="310"/>
      <c r="S134" s="310"/>
    </row>
    <row r="135" spans="9:19">
      <c r="I135" s="310" t="str">
        <f t="shared" si="1"/>
        <v>小区分61050_知能ロボティクス関連_Intelligent_Robotics</v>
      </c>
      <c r="J135" s="310" t="str">
        <f t="shared" si="0"/>
        <v>知能ロボット/Intelligent Robotics</v>
      </c>
      <c r="K135" s="310" t="str">
        <f t="shared" si="0"/>
        <v>行動環境認識/Behavioral Environment Recognition</v>
      </c>
      <c r="L135" s="310" t="str">
        <f t="shared" si="0"/>
        <v>プランニング/Planning</v>
      </c>
      <c r="M135" s="310" t="str">
        <f t="shared" si="0"/>
        <v>感覚行動システム/Sensory-Behavioral Systems</v>
      </c>
      <c r="N135" s="310" t="str">
        <f t="shared" si="0"/>
        <v>自律システム/Autonomous Systems</v>
      </c>
      <c r="O135" s="310" t="str">
        <f t="shared" si="0"/>
        <v>ディジタルヒューマン/Digital Human</v>
      </c>
      <c r="P135" s="310" t="str">
        <f t="shared" si="0"/>
        <v>実世界情報処理/Real-world information processing</v>
      </c>
      <c r="Q135" s="310" t="str">
        <f t="shared" si="0"/>
        <v>物理エージェント/Physical Agents</v>
      </c>
      <c r="R135" s="310" t="str">
        <f t="shared" si="0"/>
        <v>知能化空間/Intelligent Spaces</v>
      </c>
      <c r="S135" s="310"/>
    </row>
    <row r="136" spans="9:19">
      <c r="I136" s="310" t="str">
        <f t="shared" si="1"/>
        <v>小区分61060_感性情報学関連_Sensory_Informatics</v>
      </c>
      <c r="J136" s="310" t="str">
        <f t="shared" si="0"/>
        <v>感性デザイン学/Sensory Design Studies</v>
      </c>
      <c r="K136" s="310" t="str">
        <f t="shared" si="0"/>
        <v>感性認知科学/Sensory and Cognitive Science</v>
      </c>
      <c r="L136" s="310" t="str">
        <f t="shared" si="0"/>
        <v>感性心理学/Psychology of Sensitivity</v>
      </c>
      <c r="M136" s="310" t="str">
        <f t="shared" si="0"/>
        <v>感性ロボティクス/Sensory Robotics</v>
      </c>
      <c r="N136" s="310" t="str">
        <f t="shared" si="0"/>
        <v>感性計測評価/Sensory Measurement and Evaluation</v>
      </c>
      <c r="O136" s="310" t="str">
        <f t="shared" si="0"/>
        <v>感性インタフェース/Sensory Interface</v>
      </c>
      <c r="P136" s="310" t="str">
        <f t="shared" si="0"/>
        <v>感性生理学/Sensory Physiology</v>
      </c>
      <c r="Q136" s="310" t="str">
        <f t="shared" si="0"/>
        <v>感性材料科学/Sensory Materials Science</v>
      </c>
      <c r="R136" s="310" t="str">
        <f t="shared" si="0"/>
        <v>感性教育学/Sensory Pedagogy</v>
      </c>
      <c r="S136" s="310" t="str">
        <f t="shared" si="0"/>
        <v>感性脳科学/Sensory Brain Science</v>
      </c>
    </row>
    <row r="137" spans="9:19">
      <c r="I137" s="310" t="str">
        <f t="shared" si="1"/>
        <v>小区分90010_デザイン学関連_Design_Science</v>
      </c>
      <c r="J137" s="310" t="str">
        <f t="shared" ref="J137:S138" si="2">_xlfn.CONCAT(J99,$I$82,J118)</f>
        <v>情報デザイン/Information Design</v>
      </c>
      <c r="K137" s="310" t="str">
        <f t="shared" si="2"/>
        <v>環境デザイン/Environmental Design</v>
      </c>
      <c r="L137" s="310" t="str">
        <f t="shared" si="2"/>
        <v>工業デザイン/Industrial Design</v>
      </c>
      <c r="M137" s="310" t="str">
        <f t="shared" si="2"/>
        <v>空間デザイン/Spatial Design</v>
      </c>
      <c r="N137" s="310" t="str">
        <f t="shared" si="2"/>
        <v>デザイン史/Design History</v>
      </c>
      <c r="O137" s="310" t="str">
        <f t="shared" si="2"/>
        <v>デザイン論/Design Theory</v>
      </c>
      <c r="P137" s="310" t="str">
        <f t="shared" si="2"/>
        <v>デザイン規格/Design Standards</v>
      </c>
      <c r="Q137" s="310" t="str">
        <f t="shared" si="2"/>
        <v>デザイン支援/Design Support</v>
      </c>
      <c r="R137" s="310" t="str">
        <f t="shared" si="2"/>
        <v>デザイン評価/Design Evaluation</v>
      </c>
      <c r="S137" s="310" t="str">
        <f t="shared" si="2"/>
        <v>デザイン教育/Design Education</v>
      </c>
    </row>
    <row r="138" spans="9:19">
      <c r="I138" s="310" t="str">
        <f t="shared" si="1"/>
        <v>小区分90030_認知科学関連_Cognitive_Science</v>
      </c>
      <c r="J138" s="310" t="str">
        <f t="shared" si="2"/>
        <v>認知科学一般/Cognitive Science</v>
      </c>
      <c r="K138" s="310" t="str">
        <f t="shared" si="2"/>
        <v>認知モデル/Cognitive Modeling</v>
      </c>
      <c r="L138" s="310" t="str">
        <f t="shared" si="2"/>
        <v>感性/Sensitivity</v>
      </c>
      <c r="M138" s="310" t="str">
        <f t="shared" si="2"/>
        <v>ヒューマンファクターズ/Human Factors</v>
      </c>
      <c r="N138" s="310" t="str">
        <f t="shared" si="2"/>
        <v>認知脳科学/Cognitive Brain Science</v>
      </c>
      <c r="O138" s="310" t="str">
        <f t="shared" si="2"/>
        <v>比較認知/Comparative cognition</v>
      </c>
      <c r="P138" s="310" t="str">
        <f t="shared" si="2"/>
        <v>認知言語学/Cognitive Linguistics</v>
      </c>
      <c r="Q138" s="310" t="str">
        <f t="shared" si="2"/>
        <v>認知工学/Cognitive Engineering</v>
      </c>
      <c r="R138" s="310"/>
      <c r="S138" s="310"/>
    </row>
    <row r="139" spans="9:19">
      <c r="I139" s="310"/>
      <c r="K139" s="310"/>
    </row>
    <row r="140" spans="9:19">
      <c r="I140" s="310"/>
      <c r="K140" s="310"/>
    </row>
    <row r="141" spans="9:19">
      <c r="I141" s="310"/>
      <c r="K141" s="310"/>
    </row>
    <row r="142" spans="9:19">
      <c r="I142" s="310"/>
      <c r="K142" s="310"/>
    </row>
    <row r="143" spans="9:19">
      <c r="I143" s="310"/>
      <c r="K143" s="310"/>
    </row>
    <row r="144" spans="9:19">
      <c r="I144" s="310"/>
      <c r="K144" s="310"/>
    </row>
    <row r="145" spans="9:11">
      <c r="I145" s="310"/>
      <c r="K145" s="310"/>
    </row>
    <row r="146" spans="9:11">
      <c r="I146" s="310"/>
      <c r="K146" s="310"/>
    </row>
    <row r="147" spans="9:11">
      <c r="I147" s="310"/>
      <c r="K147" s="310"/>
    </row>
    <row r="148" spans="9:11">
      <c r="I148" s="310"/>
      <c r="K148" s="310"/>
    </row>
    <row r="149" spans="9:11">
      <c r="I149" s="310"/>
      <c r="K149" s="310"/>
    </row>
    <row r="150" spans="9:11">
      <c r="I150" s="310"/>
      <c r="K150" s="310"/>
    </row>
    <row r="151" spans="9:11">
      <c r="I151" s="310"/>
      <c r="K151" s="310"/>
    </row>
    <row r="152" spans="9:11">
      <c r="I152" s="310"/>
      <c r="K152" s="310"/>
    </row>
    <row r="153" spans="9:11">
      <c r="I153" s="310"/>
      <c r="K153" s="310"/>
    </row>
    <row r="154" spans="9:11">
      <c r="I154" s="310"/>
      <c r="K154" s="310"/>
    </row>
    <row r="155" spans="9:11">
      <c r="I155" s="310"/>
      <c r="K155" s="310"/>
    </row>
    <row r="156" spans="9:11">
      <c r="I156" s="310"/>
      <c r="K156" s="310"/>
    </row>
    <row r="157" spans="9:11">
      <c r="I157" s="310"/>
      <c r="K157" s="310"/>
    </row>
    <row r="158" spans="9:11">
      <c r="I158" s="310"/>
      <c r="K158" s="310"/>
    </row>
    <row r="159" spans="9:11">
      <c r="I159" s="310"/>
      <c r="K159" s="310"/>
    </row>
    <row r="160" spans="9:11">
      <c r="I160" s="310"/>
      <c r="K160" s="310"/>
    </row>
    <row r="161" spans="9:11">
      <c r="I161" s="310"/>
      <c r="K161" s="310"/>
    </row>
    <row r="162" spans="9:11">
      <c r="I162" s="310"/>
      <c r="K162" s="310"/>
    </row>
    <row r="163" spans="9:11">
      <c r="I163" s="310"/>
      <c r="K163" s="310"/>
    </row>
    <row r="164" spans="9:11">
      <c r="I164" s="310"/>
      <c r="K164" s="310"/>
    </row>
    <row r="165" spans="9:11">
      <c r="I165" s="310"/>
      <c r="K165" s="310"/>
    </row>
    <row r="166" spans="9:11">
      <c r="I166" s="310"/>
      <c r="K166" s="310"/>
    </row>
    <row r="167" spans="9:11">
      <c r="I167" s="310"/>
      <c r="K167" s="310"/>
    </row>
    <row r="168" spans="9:11">
      <c r="I168" s="310"/>
      <c r="K168" s="310"/>
    </row>
    <row r="169" spans="9:11">
      <c r="I169" s="310"/>
      <c r="K169" s="310"/>
    </row>
    <row r="170" spans="9:11">
      <c r="I170" s="310"/>
      <c r="K170" s="310"/>
    </row>
    <row r="171" spans="9:11">
      <c r="I171" s="310"/>
      <c r="K171" s="310"/>
    </row>
    <row r="172" spans="9:11">
      <c r="I172" s="310"/>
      <c r="K172" s="310"/>
    </row>
    <row r="173" spans="9:11">
      <c r="I173" s="310"/>
      <c r="K173" s="310"/>
    </row>
    <row r="174" spans="9:11">
      <c r="I174" s="310"/>
      <c r="K174" s="310"/>
    </row>
    <row r="175" spans="9:11">
      <c r="I175" s="310"/>
      <c r="K175" s="310"/>
    </row>
    <row r="176" spans="9:11">
      <c r="I176" s="310"/>
      <c r="K176" s="310"/>
    </row>
    <row r="177" spans="9:11">
      <c r="I177" s="310"/>
      <c r="K177" s="310"/>
    </row>
    <row r="178" spans="9:11">
      <c r="I178" s="310"/>
      <c r="K178" s="310"/>
    </row>
    <row r="179" spans="9:11">
      <c r="I179" s="310"/>
      <c r="K179" s="310"/>
    </row>
    <row r="180" spans="9:11">
      <c r="I180" s="310"/>
      <c r="K180" s="310"/>
    </row>
    <row r="181" spans="9:11">
      <c r="I181" s="310"/>
      <c r="K181" s="310"/>
    </row>
    <row r="182" spans="9:11">
      <c r="I182" s="310"/>
      <c r="K182" s="310"/>
    </row>
    <row r="183" spans="9:11">
      <c r="I183" s="310"/>
      <c r="K183" s="310"/>
    </row>
    <row r="184" spans="9:11">
      <c r="I184" s="310"/>
      <c r="K184" s="310"/>
    </row>
    <row r="185" spans="9:11">
      <c r="I185" s="310"/>
      <c r="K185" s="310"/>
    </row>
    <row r="186" spans="9:11">
      <c r="K186" s="310"/>
    </row>
    <row r="187" spans="9:11">
      <c r="K187" s="310"/>
    </row>
    <row r="188" spans="9:11">
      <c r="K188" s="310"/>
    </row>
    <row r="189" spans="9:11">
      <c r="K189" s="310"/>
    </row>
    <row r="190" spans="9:11">
      <c r="K190" s="310"/>
    </row>
    <row r="191" spans="9:11">
      <c r="K191" s="310"/>
    </row>
    <row r="192" spans="9:11">
      <c r="K192" s="310"/>
    </row>
    <row r="193" spans="11:11">
      <c r="K193" s="310"/>
    </row>
    <row r="194" spans="11:11">
      <c r="K194" s="310"/>
    </row>
    <row r="195" spans="11:11">
      <c r="K195" s="310"/>
    </row>
    <row r="196" spans="11:11">
      <c r="K196" s="310"/>
    </row>
    <row r="197" spans="11:11">
      <c r="K197" s="310"/>
    </row>
    <row r="198" spans="11:11">
      <c r="K198" s="310"/>
    </row>
    <row r="199" spans="11:11">
      <c r="K199" s="310"/>
    </row>
    <row r="200" spans="11:11">
      <c r="K200" s="310"/>
    </row>
    <row r="201" spans="11:11">
      <c r="K201" s="310"/>
    </row>
    <row r="202" spans="11:11">
      <c r="K202" s="310"/>
    </row>
    <row r="203" spans="11:11">
      <c r="K203" s="310"/>
    </row>
    <row r="204" spans="11:11">
      <c r="K204" s="310"/>
    </row>
    <row r="205" spans="11:11">
      <c r="K205" s="310"/>
    </row>
    <row r="206" spans="11:11">
      <c r="K206" s="310"/>
    </row>
    <row r="207" spans="11:11">
      <c r="K207" s="310"/>
    </row>
    <row r="208" spans="11:11">
      <c r="K208" s="310"/>
    </row>
    <row r="209" spans="11:11">
      <c r="K209" s="310"/>
    </row>
    <row r="210" spans="11:11">
      <c r="K210" s="310"/>
    </row>
    <row r="211" spans="11:11">
      <c r="K211" s="310"/>
    </row>
    <row r="212" spans="11:11">
      <c r="K212" s="310"/>
    </row>
    <row r="213" spans="11:11">
      <c r="K213" s="310"/>
    </row>
    <row r="214" spans="11:11">
      <c r="K214" s="310"/>
    </row>
    <row r="215" spans="11:11">
      <c r="K215" s="310"/>
    </row>
    <row r="216" spans="11:11">
      <c r="K216" s="310"/>
    </row>
    <row r="217" spans="11:11">
      <c r="K217" s="310"/>
    </row>
    <row r="218" spans="11:11">
      <c r="K218" s="310"/>
    </row>
    <row r="219" spans="11:11">
      <c r="K219" s="310"/>
    </row>
    <row r="220" spans="11:11">
      <c r="K220" s="310"/>
    </row>
    <row r="221" spans="11:11">
      <c r="K221" s="310"/>
    </row>
    <row r="222" spans="11:11">
      <c r="K222" s="310"/>
    </row>
    <row r="223" spans="11:11">
      <c r="K223" s="310"/>
    </row>
    <row r="224" spans="11:11">
      <c r="K224" s="310"/>
    </row>
    <row r="225" spans="11:11">
      <c r="K225" s="310"/>
    </row>
    <row r="226" spans="11:11">
      <c r="K226" s="310"/>
    </row>
    <row r="227" spans="11:11">
      <c r="K227" s="310"/>
    </row>
    <row r="228" spans="11:11">
      <c r="K228" s="310"/>
    </row>
    <row r="229" spans="11:11">
      <c r="K229" s="310"/>
    </row>
    <row r="230" spans="11:11">
      <c r="K230" s="310"/>
    </row>
    <row r="231" spans="11:11">
      <c r="K231" s="310"/>
    </row>
    <row r="232" spans="11:11">
      <c r="K232" s="310"/>
    </row>
    <row r="233" spans="11:11">
      <c r="K233" s="310"/>
    </row>
    <row r="234" spans="11:11">
      <c r="K234" s="310"/>
    </row>
    <row r="235" spans="11:11">
      <c r="K235" s="310"/>
    </row>
    <row r="236" spans="11:11">
      <c r="K236" s="310"/>
    </row>
    <row r="237" spans="11:11">
      <c r="K237" s="310"/>
    </row>
    <row r="238" spans="11:11">
      <c r="K238" s="310"/>
    </row>
    <row r="239" spans="11:11">
      <c r="K239" s="310"/>
    </row>
    <row r="240" spans="11:11">
      <c r="K240" s="310"/>
    </row>
    <row r="241" spans="11:11">
      <c r="K241" s="310"/>
    </row>
    <row r="242" spans="11:11">
      <c r="K242" s="310"/>
    </row>
    <row r="243" spans="11:11">
      <c r="K243" s="310"/>
    </row>
    <row r="244" spans="11:11">
      <c r="K244" s="310"/>
    </row>
    <row r="245" spans="11:11">
      <c r="K245" s="310"/>
    </row>
    <row r="246" spans="11:11">
      <c r="K246" s="310"/>
    </row>
    <row r="247" spans="11:11">
      <c r="K247" s="310"/>
    </row>
    <row r="248" spans="11:11">
      <c r="K248" s="310"/>
    </row>
    <row r="249" spans="11:11">
      <c r="K249" s="310"/>
    </row>
    <row r="250" spans="11:11">
      <c r="K250" s="310"/>
    </row>
    <row r="251" spans="11:11">
      <c r="K251" s="310"/>
    </row>
    <row r="252" spans="11:11">
      <c r="K252" s="310"/>
    </row>
    <row r="253" spans="11:11">
      <c r="K253" s="310"/>
    </row>
    <row r="254" spans="11:11">
      <c r="K254" s="310"/>
    </row>
    <row r="255" spans="11:11">
      <c r="K255" s="310"/>
    </row>
    <row r="256" spans="11:11">
      <c r="K256" s="310"/>
    </row>
    <row r="257" spans="11:11">
      <c r="K257" s="310"/>
    </row>
    <row r="258" spans="11:11">
      <c r="K258" s="310"/>
    </row>
    <row r="259" spans="11:11">
      <c r="K259" s="310"/>
    </row>
    <row r="260" spans="11:11">
      <c r="K260" s="310"/>
    </row>
    <row r="261" spans="11:11">
      <c r="K261" s="310"/>
    </row>
    <row r="262" spans="11:11">
      <c r="K262" s="310"/>
    </row>
    <row r="263" spans="11:11">
      <c r="K263" s="310"/>
    </row>
    <row r="264" spans="11:11">
      <c r="K264" s="310"/>
    </row>
    <row r="265" spans="11:11">
      <c r="K265" s="310"/>
    </row>
    <row r="266" spans="11:11">
      <c r="K266" s="310"/>
    </row>
    <row r="267" spans="11:11">
      <c r="K267" s="310"/>
    </row>
    <row r="268" spans="11:11">
      <c r="K268" s="310"/>
    </row>
    <row r="269" spans="11:11">
      <c r="K269" s="310"/>
    </row>
    <row r="270" spans="11:11">
      <c r="K270" s="310"/>
    </row>
    <row r="271" spans="11:11">
      <c r="K271" s="310"/>
    </row>
    <row r="272" spans="11:11">
      <c r="K272" s="310"/>
    </row>
    <row r="273" spans="11:11">
      <c r="K273" s="310"/>
    </row>
    <row r="274" spans="11:11">
      <c r="K274" s="310"/>
    </row>
    <row r="275" spans="11:11">
      <c r="K275" s="310"/>
    </row>
    <row r="276" spans="11:11">
      <c r="K276" s="310"/>
    </row>
    <row r="277" spans="11:11">
      <c r="K277" s="310"/>
    </row>
    <row r="278" spans="11:11">
      <c r="K278" s="310"/>
    </row>
    <row r="279" spans="11:11">
      <c r="K279" s="310"/>
    </row>
    <row r="280" spans="11:11">
      <c r="K280" s="310"/>
    </row>
    <row r="281" spans="11:11">
      <c r="K281" s="310"/>
    </row>
    <row r="282" spans="11:11">
      <c r="K282" s="310"/>
    </row>
    <row r="283" spans="11:11">
      <c r="K283" s="310"/>
    </row>
    <row r="284" spans="11:11">
      <c r="K284" s="310"/>
    </row>
    <row r="285" spans="11:11">
      <c r="K285" s="310"/>
    </row>
    <row r="286" spans="11:11">
      <c r="K286" s="310"/>
    </row>
    <row r="287" spans="11:11">
      <c r="K287" s="310"/>
    </row>
    <row r="288" spans="11:11">
      <c r="K288" s="310"/>
    </row>
    <row r="289" spans="11:11">
      <c r="K289" s="310"/>
    </row>
    <row r="290" spans="11:11">
      <c r="K290" s="310"/>
    </row>
    <row r="291" spans="11:11">
      <c r="K291" s="310"/>
    </row>
    <row r="292" spans="11:11">
      <c r="K292" s="310"/>
    </row>
    <row r="293" spans="11:11">
      <c r="K293" s="310"/>
    </row>
    <row r="294" spans="11:11">
      <c r="K294" s="310"/>
    </row>
    <row r="295" spans="11:11">
      <c r="K295" s="310"/>
    </row>
    <row r="296" spans="11:11">
      <c r="K296" s="310"/>
    </row>
    <row r="297" spans="11:11">
      <c r="K297" s="310"/>
    </row>
    <row r="298" spans="11:11">
      <c r="K298" s="310"/>
    </row>
    <row r="299" spans="11:11">
      <c r="K299" s="310"/>
    </row>
    <row r="300" spans="11:11">
      <c r="K300" s="310"/>
    </row>
    <row r="301" spans="11:11">
      <c r="K301" s="310"/>
    </row>
    <row r="302" spans="11:11">
      <c r="K302" s="310"/>
    </row>
    <row r="303" spans="11:11">
      <c r="K303" s="310"/>
    </row>
    <row r="304" spans="11:11">
      <c r="K304" s="310"/>
    </row>
    <row r="305" spans="11:11">
      <c r="K305" s="310"/>
    </row>
    <row r="306" spans="11:11">
      <c r="K306" s="310"/>
    </row>
    <row r="307" spans="11:11">
      <c r="K307" s="310"/>
    </row>
    <row r="308" spans="11:11">
      <c r="K308" s="310"/>
    </row>
    <row r="309" spans="11:11">
      <c r="K309" s="310"/>
    </row>
    <row r="310" spans="11:11">
      <c r="K310" s="310"/>
    </row>
    <row r="311" spans="11:11">
      <c r="K311" s="310"/>
    </row>
    <row r="312" spans="11:11">
      <c r="K312" s="310"/>
    </row>
    <row r="313" spans="11:11">
      <c r="K313" s="310"/>
    </row>
    <row r="314" spans="11:11">
      <c r="K314" s="310"/>
    </row>
    <row r="315" spans="11:11">
      <c r="K315" s="310"/>
    </row>
    <row r="316" spans="11:11">
      <c r="K316" s="310"/>
    </row>
    <row r="317" spans="11:11">
      <c r="K317" s="310"/>
    </row>
    <row r="318" spans="11:11">
      <c r="K318" s="310"/>
    </row>
    <row r="319" spans="11:11">
      <c r="K319" s="310"/>
    </row>
    <row r="320" spans="11:11">
      <c r="K320" s="310"/>
    </row>
    <row r="321" spans="11:11">
      <c r="K321" s="310"/>
    </row>
    <row r="322" spans="11:11">
      <c r="K322" s="310"/>
    </row>
    <row r="323" spans="11:11">
      <c r="K323" s="310"/>
    </row>
    <row r="324" spans="11:11">
      <c r="K324" s="310"/>
    </row>
    <row r="325" spans="11:11">
      <c r="K325" s="310"/>
    </row>
    <row r="326" spans="11:11">
      <c r="K326" s="310"/>
    </row>
    <row r="327" spans="11:11">
      <c r="K327" s="310"/>
    </row>
    <row r="328" spans="11:11">
      <c r="K328" s="310"/>
    </row>
    <row r="329" spans="11:11">
      <c r="K329" s="310"/>
    </row>
    <row r="330" spans="11:11">
      <c r="K330" s="310"/>
    </row>
    <row r="331" spans="11:11">
      <c r="K331" s="310"/>
    </row>
    <row r="332" spans="11:11">
      <c r="K332" s="310"/>
    </row>
    <row r="333" spans="11:11">
      <c r="K333" s="310"/>
    </row>
    <row r="334" spans="11:11">
      <c r="K334" s="310"/>
    </row>
    <row r="335" spans="11:11">
      <c r="K335" s="310"/>
    </row>
    <row r="336" spans="11:11">
      <c r="K336" s="310"/>
    </row>
    <row r="337" spans="11:11">
      <c r="K337" s="310"/>
    </row>
    <row r="338" spans="11:11">
      <c r="K338" s="310"/>
    </row>
    <row r="339" spans="11:11">
      <c r="K339" s="310"/>
    </row>
    <row r="340" spans="11:11">
      <c r="K340" s="310"/>
    </row>
    <row r="341" spans="11:11">
      <c r="K341" s="310"/>
    </row>
    <row r="342" spans="11:11">
      <c r="K342" s="310"/>
    </row>
    <row r="343" spans="11:11">
      <c r="K343" s="310"/>
    </row>
    <row r="344" spans="11:11">
      <c r="K344" s="310"/>
    </row>
    <row r="345" spans="11:11">
      <c r="K345" s="310"/>
    </row>
    <row r="346" spans="11:11">
      <c r="K346" s="310"/>
    </row>
    <row r="347" spans="11:11">
      <c r="K347" s="310"/>
    </row>
    <row r="348" spans="11:11">
      <c r="K348" s="310"/>
    </row>
    <row r="349" spans="11:11">
      <c r="K349" s="310"/>
    </row>
    <row r="350" spans="11:11">
      <c r="K350" s="310"/>
    </row>
    <row r="351" spans="11:11">
      <c r="K351" s="310"/>
    </row>
    <row r="352" spans="11:11">
      <c r="K352" s="310"/>
    </row>
    <row r="353" spans="11:11">
      <c r="K353" s="310"/>
    </row>
    <row r="354" spans="11:11">
      <c r="K354" s="310"/>
    </row>
    <row r="355" spans="11:11">
      <c r="K355" s="310"/>
    </row>
    <row r="356" spans="11:11">
      <c r="K356" s="310"/>
    </row>
    <row r="357" spans="11:11">
      <c r="K357" s="310"/>
    </row>
    <row r="358" spans="11:11">
      <c r="K358" s="310"/>
    </row>
    <row r="359" spans="11:11">
      <c r="K359" s="310"/>
    </row>
    <row r="360" spans="11:11">
      <c r="K360" s="310"/>
    </row>
    <row r="361" spans="11:11">
      <c r="K361" s="310"/>
    </row>
    <row r="362" spans="11:11">
      <c r="K362" s="310"/>
    </row>
    <row r="363" spans="11:11">
      <c r="K363" s="310"/>
    </row>
    <row r="364" spans="11:11">
      <c r="K364" s="310"/>
    </row>
    <row r="365" spans="11:11">
      <c r="K365" s="310"/>
    </row>
    <row r="366" spans="11:11">
      <c r="K366" s="310"/>
    </row>
    <row r="367" spans="11:11">
      <c r="K367" s="310"/>
    </row>
    <row r="368" spans="11:11">
      <c r="K368" s="310"/>
    </row>
    <row r="369" spans="11:11">
      <c r="K369" s="310"/>
    </row>
    <row r="370" spans="11:11">
      <c r="K370" s="310"/>
    </row>
    <row r="371" spans="11:11">
      <c r="K371" s="310"/>
    </row>
    <row r="372" spans="11:11">
      <c r="K372" s="310"/>
    </row>
    <row r="373" spans="11:11">
      <c r="K373" s="310"/>
    </row>
    <row r="374" spans="11:11">
      <c r="K374" s="310"/>
    </row>
    <row r="375" spans="11:11">
      <c r="K375" s="310"/>
    </row>
    <row r="376" spans="11:11">
      <c r="K376" s="310"/>
    </row>
    <row r="377" spans="11:11">
      <c r="K377" s="310"/>
    </row>
    <row r="378" spans="11:11">
      <c r="K378" s="310"/>
    </row>
    <row r="379" spans="11:11">
      <c r="K379" s="310"/>
    </row>
    <row r="380" spans="11:11">
      <c r="K380" s="310"/>
    </row>
    <row r="381" spans="11:11">
      <c r="K381" s="310"/>
    </row>
    <row r="382" spans="11:11">
      <c r="K382" s="310"/>
    </row>
    <row r="383" spans="11:11">
      <c r="K383" s="310"/>
    </row>
    <row r="384" spans="11:11">
      <c r="K384" s="310"/>
    </row>
    <row r="385" spans="11:11">
      <c r="K385" s="310"/>
    </row>
    <row r="386" spans="11:11">
      <c r="K386" s="310"/>
    </row>
    <row r="387" spans="11:11">
      <c r="K387" s="310"/>
    </row>
    <row r="388" spans="11:11">
      <c r="K388" s="310"/>
    </row>
    <row r="389" spans="11:11">
      <c r="K389" s="310"/>
    </row>
    <row r="390" spans="11:11">
      <c r="K390" s="310"/>
    </row>
    <row r="391" spans="11:11">
      <c r="K391" s="310"/>
    </row>
    <row r="392" spans="11:11">
      <c r="K392" s="310"/>
    </row>
    <row r="393" spans="11:11">
      <c r="K393" s="310"/>
    </row>
    <row r="394" spans="11:11">
      <c r="K394" s="310"/>
    </row>
  </sheetData>
  <sheetProtection algorithmName="SHA-512" hashValue="6WWLE9VJMu2xz44y2CaC6/i+YzJRhqTJq0RCW44AGspNMuHC7TVkEfdMYjQl6zUPfGNQt/ohCAYLrgQhSxiNUA==" saltValue="yGRZUCQ1/XkX13/pMz+bNA==" spinCount="100000" sheet="1" objects="1" scenarios="1"/>
  <phoneticPr fontId="1"/>
  <dataValidations disablePrompts="1" count="17">
    <dataValidation showInputMessage="1" showErrorMessage="1" sqref="B46:B53 B57:D67" xr:uid="{63A455F7-7432-4EDE-8FEA-057687B6C624}"/>
    <dataValidation type="list" operator="lessThan" showInputMessage="1" showErrorMessage="1" sqref="B22:B23" xr:uid="{B146843F-9978-440C-B38F-957DD726A008}">
      <formula1>$I$19:$I$81</formula1>
    </dataValidation>
    <dataValidation type="list" operator="lessThan" allowBlank="1" showInputMessage="1" showErrorMessage="1" sqref="B18:B21" xr:uid="{FCBA8DF7-6C85-4F0F-811F-83F322000675}">
      <formula1>$I$121:$I$138</formula1>
    </dataValidation>
    <dataValidation type="list" allowBlank="1" showInputMessage="1" showErrorMessage="1" sqref="C21" xr:uid="{F9FDF93F-6891-494D-AE85-77D16C53D78E}">
      <formula1>INDIRECT($B$21)</formula1>
    </dataValidation>
    <dataValidation type="list" allowBlank="1" showInputMessage="1" showErrorMessage="1" sqref="C20" xr:uid="{00C769A2-4DBB-4EC4-A2FA-2E34F00ADED2}">
      <formula1>INDIRECT($B$20)</formula1>
    </dataValidation>
    <dataValidation type="list" allowBlank="1" showInputMessage="1" showErrorMessage="1" sqref="C19" xr:uid="{E8387CEA-E9B9-4A3E-A17F-1145622CC550}">
      <formula1>INDIRECT($B$19)</formula1>
    </dataValidation>
    <dataValidation type="list" allowBlank="1" showInputMessage="1" showErrorMessage="1" sqref="C18" xr:uid="{3D5A2B0A-BE34-4978-BF36-F6A3698FD914}">
      <formula1>INDIRECT($B$18)</formula1>
    </dataValidation>
    <dataValidation type="list" allowBlank="1" showInputMessage="1" showErrorMessage="1" sqref="C23" xr:uid="{F569010B-48C0-4B34-B26C-FA2244294A14}">
      <formula1>INDIRECT(B23)</formula1>
    </dataValidation>
    <dataValidation type="list" allowBlank="1" showInputMessage="1" showErrorMessage="1" sqref="C22" xr:uid="{3086B41B-F912-4F64-9B9E-C1E727A57BAE}">
      <formula1>INDIRECT($B$22)</formula1>
    </dataValidation>
    <dataValidation type="list" allowBlank="1" showInputMessage="1" showErrorMessage="1" sqref="C17" xr:uid="{E041825C-27D6-4CBA-A502-F6F65A86F47E}">
      <formula1>INDIRECT($B$17)</formula1>
    </dataValidation>
    <dataValidation type="list" operator="lessThan" allowBlank="1" showInputMessage="1" showErrorMessage="1" error="新規課題では入力できません" sqref="B17" xr:uid="{E0C47225-7BA8-409B-B8FD-5B4F57C62B19}">
      <formula1>$I$121:$I$138</formula1>
    </dataValidation>
    <dataValidation type="list" allowBlank="1" showInputMessage="1" showErrorMessage="1" sqref="B11:B14" xr:uid="{113BD3E1-469A-4A74-8DA0-9DB0E1CE38E2}">
      <formula1>$E$4:$E$5</formula1>
    </dataValidation>
    <dataValidation type="custom" operator="lessThan" showInputMessage="1" showErrorMessage="1" error="新規課題では入力できません/cannot input for New projext" sqref="B16" xr:uid="{C64B3125-B330-4E98-B8BC-4F27AC8CB7B3}">
      <formula1>(B15="継続課題/Continued project")</formula1>
    </dataValidation>
    <dataValidation type="list" allowBlank="1" showInputMessage="1" showErrorMessage="1" sqref="B9" xr:uid="{0142219B-B073-4800-8762-E27E73A22C8C}">
      <formula1>$E$9:$E$10</formula1>
    </dataValidation>
    <dataValidation type="list" showInputMessage="1" showErrorMessage="1" sqref="C46:D53" xr:uid="{6EB88329-18F0-4CD4-A667-B33317F9908B}">
      <formula1>$E$4:$E$5</formula1>
    </dataValidation>
    <dataValidation type="list" allowBlank="1" showInputMessage="1" showErrorMessage="1" sqref="B15" xr:uid="{328A8C45-01C2-49F8-83AA-C8BB4194861C}">
      <formula1>"新規課題/New project,継続課題/Continued project"</formula1>
    </dataValidation>
    <dataValidation type="list" allowBlank="1" showInputMessage="1" showErrorMessage="1" sqref="B10" xr:uid="{BDCB7060-475D-4555-8D82-EAE515D7708F}">
      <formula1>$F9:$F12</formula1>
    </dataValidation>
  </dataValidations>
  <pageMargins left="0.51181102362204722" right="0.31496062992125984" top="0.55118110236220474" bottom="0.55118110236220474" header="0.31496062992125984" footer="0.31496062992125984"/>
  <pageSetup paperSize="9" scale="4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E9DB6-3F58-4D7C-9DB9-75C8FC161256}">
  <sheetPr>
    <pageSetUpPr fitToPage="1"/>
  </sheetPr>
  <dimension ref="A1:W394"/>
  <sheetViews>
    <sheetView topLeftCell="A2" zoomScale="80" zoomScaleNormal="80" workbookViewId="0">
      <selection activeCell="A7" sqref="A7"/>
    </sheetView>
  </sheetViews>
  <sheetFormatPr defaultColWidth="9" defaultRowHeight="17.649999999999999"/>
  <cols>
    <col min="1" max="1" width="41.875" style="1" customWidth="1"/>
    <col min="2" max="2" width="38.625" style="1" customWidth="1"/>
    <col min="3" max="3" width="49.625" style="1" customWidth="1"/>
    <col min="4" max="4" width="48.5" style="1" customWidth="1"/>
    <col min="5" max="5" width="30.125" style="1" hidden="1" customWidth="1"/>
    <col min="6" max="6" width="22.625" style="1" hidden="1" customWidth="1"/>
    <col min="7" max="8" width="9" style="1" hidden="1" customWidth="1"/>
    <col min="9" max="9" width="55.125" style="1" hidden="1" customWidth="1"/>
    <col min="10" max="10" width="21.625" style="1" hidden="1" customWidth="1"/>
    <col min="11" max="19" width="9" style="1" hidden="1" customWidth="1"/>
    <col min="20" max="20" width="9" style="1" customWidth="1"/>
    <col min="21" max="16384" width="9" style="1"/>
  </cols>
  <sheetData>
    <row r="1" spans="1:11" ht="24" customHeight="1">
      <c r="A1" s="13" t="s">
        <v>43</v>
      </c>
      <c r="B1" s="13"/>
      <c r="D1" s="439" t="s">
        <v>36</v>
      </c>
      <c r="E1" s="43" t="s">
        <v>44</v>
      </c>
    </row>
    <row r="2" spans="1:11" ht="24" customHeight="1">
      <c r="A2" s="13" t="s">
        <v>45</v>
      </c>
      <c r="B2" s="13"/>
      <c r="I2" s="310"/>
      <c r="J2" s="310"/>
      <c r="K2" s="310"/>
    </row>
    <row r="3" spans="1:11" ht="63" customHeight="1" thickBot="1">
      <c r="A3" s="66"/>
      <c r="B3" s="65" t="str" cm="1">
        <f t="array" aca="1" ref="B3" ca="1">IF(SUM(LEN(C57:C66))&gt;0,"利用資源の申請に誤りがありますので修正ください / Some error occur in resource application sheets. Please fix.","")</f>
        <v/>
      </c>
      <c r="I3" s="310"/>
      <c r="J3" s="310"/>
      <c r="K3" s="310"/>
    </row>
    <row r="4" spans="1:11" ht="17.850000000000001" customHeight="1">
      <c r="A4" s="12" t="s">
        <v>46</v>
      </c>
      <c r="E4" s="311" t="s">
        <v>47</v>
      </c>
      <c r="I4" s="310"/>
      <c r="J4" s="310"/>
      <c r="K4" s="310"/>
    </row>
    <row r="5" spans="1:11" ht="17.850000000000001" customHeight="1" thickBot="1">
      <c r="A5" s="11" t="s">
        <v>48</v>
      </c>
      <c r="B5" s="10"/>
      <c r="C5" s="10"/>
      <c r="D5" s="10"/>
      <c r="E5" s="37" t="s">
        <v>49</v>
      </c>
      <c r="I5" s="310"/>
      <c r="J5" s="310"/>
      <c r="K5" s="310"/>
    </row>
    <row r="6" spans="1:11" ht="29.25" customHeight="1">
      <c r="A6" s="67" t="s">
        <v>50</v>
      </c>
      <c r="B6" s="68"/>
      <c r="I6" s="310"/>
      <c r="J6" s="310"/>
      <c r="K6" s="310"/>
    </row>
    <row r="7" spans="1:11" ht="33">
      <c r="A7" s="69" t="s">
        <v>51</v>
      </c>
      <c r="B7" s="70" t="s">
        <v>1084</v>
      </c>
      <c r="E7" s="305"/>
      <c r="I7" s="310"/>
      <c r="J7" s="310"/>
      <c r="K7" s="310"/>
    </row>
    <row r="8" spans="1:11" ht="141.6" customHeight="1" thickBot="1">
      <c r="A8" s="446" t="s">
        <v>52</v>
      </c>
      <c r="B8" s="521" t="s">
        <v>1105</v>
      </c>
      <c r="C8" s="1" t="s">
        <v>53</v>
      </c>
      <c r="E8" s="305"/>
      <c r="I8" s="310"/>
      <c r="J8" s="310"/>
      <c r="K8" s="310"/>
    </row>
    <row r="9" spans="1:11" ht="32.450000000000003" customHeight="1">
      <c r="A9" s="71" t="s">
        <v>54</v>
      </c>
      <c r="B9" s="72" t="s">
        <v>1086</v>
      </c>
      <c r="E9" s="440" t="s">
        <v>55</v>
      </c>
      <c r="F9" s="442" t="s">
        <v>56</v>
      </c>
      <c r="I9" s="310"/>
      <c r="J9" s="310"/>
      <c r="K9" s="310"/>
    </row>
    <row r="10" spans="1:11" ht="47.1" customHeight="1" thickBot="1">
      <c r="A10" s="517" t="s">
        <v>57</v>
      </c>
      <c r="B10" s="518" t="s">
        <v>59</v>
      </c>
      <c r="E10" s="441" t="s">
        <v>58</v>
      </c>
      <c r="F10" s="443" t="s">
        <v>59</v>
      </c>
      <c r="I10" s="310"/>
      <c r="J10" s="310"/>
      <c r="K10" s="310"/>
    </row>
    <row r="11" spans="1:11" ht="72.75" customHeight="1">
      <c r="A11" s="513" t="s">
        <v>60</v>
      </c>
      <c r="B11" s="68" t="s">
        <v>1087</v>
      </c>
      <c r="C11" s="516" t="s">
        <v>62</v>
      </c>
      <c r="E11" s="306"/>
      <c r="F11" s="445" t="s">
        <v>63</v>
      </c>
      <c r="I11" s="310"/>
      <c r="J11" s="310"/>
      <c r="K11" s="310"/>
    </row>
    <row r="12" spans="1:11" ht="54.6" customHeight="1" thickBot="1">
      <c r="A12" s="308" t="s">
        <v>64</v>
      </c>
      <c r="B12" s="70" t="s">
        <v>61</v>
      </c>
      <c r="E12" s="306"/>
      <c r="F12" s="444" t="s">
        <v>65</v>
      </c>
      <c r="I12" s="310"/>
      <c r="J12" s="310"/>
      <c r="K12" s="310"/>
    </row>
    <row r="13" spans="1:11" ht="54.6" customHeight="1">
      <c r="A13" s="308" t="s">
        <v>66</v>
      </c>
      <c r="B13" s="70" t="s">
        <v>61</v>
      </c>
      <c r="E13" s="306"/>
      <c r="I13" s="310"/>
      <c r="J13" s="310"/>
      <c r="K13" s="310"/>
    </row>
    <row r="14" spans="1:11" ht="54.6" customHeight="1" thickBot="1">
      <c r="A14" s="514" t="s">
        <v>67</v>
      </c>
      <c r="B14" s="515" t="s">
        <v>1087</v>
      </c>
      <c r="E14" s="306"/>
      <c r="I14" s="310"/>
    </row>
    <row r="15" spans="1:11" ht="32.450000000000003" customHeight="1">
      <c r="A15" s="519" t="s">
        <v>68</v>
      </c>
      <c r="B15" s="520" t="s">
        <v>1088</v>
      </c>
      <c r="E15" s="307"/>
      <c r="I15" s="310"/>
    </row>
    <row r="16" spans="1:11" ht="50.1" customHeight="1" thickBot="1">
      <c r="A16" s="509" t="s">
        <v>69</v>
      </c>
      <c r="B16" s="73" t="s">
        <v>1106</v>
      </c>
      <c r="I16" s="310"/>
    </row>
    <row r="17" spans="1:23" ht="102" customHeight="1">
      <c r="A17" s="633" t="s">
        <v>70</v>
      </c>
      <c r="B17" s="502" t="s">
        <v>1090</v>
      </c>
      <c r="C17" s="506" t="s">
        <v>1091</v>
      </c>
      <c r="D17" s="219" t="s">
        <v>71</v>
      </c>
      <c r="E17" s="215"/>
      <c r="I17" s="310"/>
    </row>
    <row r="18" spans="1:23" ht="59.25" customHeight="1">
      <c r="A18" s="74" t="s">
        <v>72</v>
      </c>
      <c r="B18" s="312"/>
      <c r="C18" s="507"/>
      <c r="E18" s="215"/>
      <c r="I18" s="310" t="s">
        <v>73</v>
      </c>
    </row>
    <row r="19" spans="1:23" ht="59.25" customHeight="1">
      <c r="A19" s="74" t="s">
        <v>74</v>
      </c>
      <c r="B19" s="312"/>
      <c r="C19" s="507"/>
      <c r="D19" s="5"/>
      <c r="E19" s="215"/>
      <c r="I19" t="s">
        <v>75</v>
      </c>
      <c r="J19" t="s">
        <v>76</v>
      </c>
      <c r="K19" t="s">
        <v>77</v>
      </c>
      <c r="L19" t="s">
        <v>78</v>
      </c>
      <c r="M19" t="s">
        <v>79</v>
      </c>
      <c r="N19" t="s">
        <v>80</v>
      </c>
      <c r="O19" t="s">
        <v>81</v>
      </c>
      <c r="P19" t="s">
        <v>82</v>
      </c>
      <c r="Q19" t="s">
        <v>83</v>
      </c>
      <c r="R19" t="s">
        <v>84</v>
      </c>
    </row>
    <row r="20" spans="1:23" ht="59.25" customHeight="1">
      <c r="A20" s="74" t="s">
        <v>85</v>
      </c>
      <c r="B20" s="312"/>
      <c r="C20" s="507"/>
      <c r="D20" s="5"/>
      <c r="E20" s="215"/>
      <c r="I20" t="s">
        <v>86</v>
      </c>
      <c r="J20" t="s">
        <v>87</v>
      </c>
      <c r="K20" t="s">
        <v>88</v>
      </c>
      <c r="L20" t="s">
        <v>89</v>
      </c>
      <c r="M20" t="s">
        <v>90</v>
      </c>
      <c r="N20" t="s">
        <v>91</v>
      </c>
      <c r="O20" t="s">
        <v>92</v>
      </c>
      <c r="P20" t="s">
        <v>93</v>
      </c>
      <c r="Q20" t="s">
        <v>94</v>
      </c>
      <c r="R20" t="s">
        <v>95</v>
      </c>
    </row>
    <row r="21" spans="1:23" ht="59.25" customHeight="1" thickBot="1">
      <c r="A21" s="503" t="s">
        <v>96</v>
      </c>
      <c r="B21" s="504"/>
      <c r="C21" s="508"/>
      <c r="D21" s="5"/>
      <c r="E21" s="215"/>
      <c r="I21" t="s">
        <v>97</v>
      </c>
      <c r="J21" t="s">
        <v>98</v>
      </c>
      <c r="K21" t="s">
        <v>99</v>
      </c>
      <c r="L21" t="s">
        <v>100</v>
      </c>
      <c r="M21" t="s">
        <v>101</v>
      </c>
      <c r="N21" t="s">
        <v>102</v>
      </c>
      <c r="O21" t="s">
        <v>103</v>
      </c>
      <c r="P21" t="s">
        <v>104</v>
      </c>
      <c r="Q21"/>
      <c r="R21"/>
    </row>
    <row r="22" spans="1:23" ht="60.75" customHeight="1">
      <c r="A22" s="510" t="s">
        <v>105</v>
      </c>
      <c r="B22" s="511" t="s">
        <v>200</v>
      </c>
      <c r="C22" s="512" t="s">
        <v>201</v>
      </c>
      <c r="D22" s="5"/>
      <c r="E22" s="220"/>
      <c r="I22" t="s">
        <v>106</v>
      </c>
      <c r="J22" t="s">
        <v>107</v>
      </c>
      <c r="K22" t="s">
        <v>108</v>
      </c>
      <c r="L22" t="s">
        <v>109</v>
      </c>
      <c r="M22" t="s">
        <v>110</v>
      </c>
      <c r="N22" t="s">
        <v>111</v>
      </c>
      <c r="O22" t="s">
        <v>112</v>
      </c>
      <c r="P22"/>
      <c r="Q22"/>
      <c r="R22"/>
    </row>
    <row r="23" spans="1:23" ht="59.25" customHeight="1" thickBot="1">
      <c r="A23" s="503" t="s">
        <v>113</v>
      </c>
      <c r="B23" s="504"/>
      <c r="C23" s="505"/>
      <c r="E23" s="220"/>
      <c r="I23" t="s">
        <v>114</v>
      </c>
      <c r="J23" t="s">
        <v>115</v>
      </c>
      <c r="K23" t="s">
        <v>116</v>
      </c>
      <c r="L23" t="s">
        <v>117</v>
      </c>
      <c r="M23" t="s">
        <v>118</v>
      </c>
      <c r="N23" t="s">
        <v>119</v>
      </c>
      <c r="O23" t="s">
        <v>120</v>
      </c>
      <c r="P23" t="s">
        <v>121</v>
      </c>
      <c r="Q23"/>
      <c r="R23"/>
    </row>
    <row r="24" spans="1:23" ht="9" customHeight="1">
      <c r="A24" s="2"/>
      <c r="B24" s="2"/>
      <c r="C24" s="21"/>
      <c r="D24" s="21"/>
      <c r="E24" s="21"/>
      <c r="F24" s="21"/>
      <c r="G24" s="21"/>
      <c r="H24" s="21"/>
      <c r="I24" t="s">
        <v>122</v>
      </c>
      <c r="J24" t="s">
        <v>123</v>
      </c>
      <c r="K24" t="s">
        <v>124</v>
      </c>
      <c r="L24" t="s">
        <v>110</v>
      </c>
      <c r="M24" t="s">
        <v>112</v>
      </c>
      <c r="N24"/>
      <c r="O24"/>
      <c r="P24"/>
      <c r="Q24"/>
      <c r="R24"/>
      <c r="S24" s="21"/>
      <c r="T24" s="21"/>
      <c r="U24" s="21"/>
      <c r="V24" s="21"/>
      <c r="W24" s="21"/>
    </row>
    <row r="25" spans="1:23" ht="17.850000000000001" customHeight="1" thickBot="1">
      <c r="A25" s="2" t="s">
        <v>125</v>
      </c>
      <c r="B25" s="2"/>
      <c r="I25" t="s">
        <v>126</v>
      </c>
      <c r="J25" t="s">
        <v>127</v>
      </c>
      <c r="K25" t="s">
        <v>128</v>
      </c>
      <c r="L25" t="s">
        <v>129</v>
      </c>
      <c r="M25" t="s">
        <v>130</v>
      </c>
      <c r="N25" t="s">
        <v>131</v>
      </c>
      <c r="O25" t="s">
        <v>132</v>
      </c>
      <c r="P25" t="s">
        <v>133</v>
      </c>
      <c r="Q25" t="s">
        <v>134</v>
      </c>
      <c r="R25" t="s">
        <v>135</v>
      </c>
    </row>
    <row r="26" spans="1:23" ht="55.5" customHeight="1">
      <c r="A26" s="14" t="s">
        <v>136</v>
      </c>
      <c r="B26" s="30"/>
      <c r="I26" t="s">
        <v>137</v>
      </c>
      <c r="J26" t="s">
        <v>138</v>
      </c>
      <c r="K26" t="s">
        <v>139</v>
      </c>
      <c r="L26" t="s">
        <v>140</v>
      </c>
      <c r="M26" t="s">
        <v>111</v>
      </c>
      <c r="N26" t="s">
        <v>112</v>
      </c>
      <c r="O26"/>
      <c r="P26"/>
      <c r="Q26"/>
      <c r="R26"/>
    </row>
    <row r="27" spans="1:23" ht="50.25" customHeight="1">
      <c r="A27" s="15" t="s">
        <v>141</v>
      </c>
      <c r="B27" s="218" t="s">
        <v>1093</v>
      </c>
      <c r="I27" t="s">
        <v>142</v>
      </c>
      <c r="J27" t="s">
        <v>143</v>
      </c>
      <c r="K27" t="s">
        <v>144</v>
      </c>
      <c r="L27" t="s">
        <v>145</v>
      </c>
      <c r="M27" t="s">
        <v>146</v>
      </c>
      <c r="N27" t="s">
        <v>147</v>
      </c>
      <c r="O27" t="s">
        <v>148</v>
      </c>
      <c r="P27" t="s">
        <v>149</v>
      </c>
      <c r="Q27" t="s">
        <v>150</v>
      </c>
      <c r="R27" t="s">
        <v>95</v>
      </c>
    </row>
    <row r="28" spans="1:23" ht="17.850000000000001" customHeight="1">
      <c r="A28" s="16" t="s">
        <v>151</v>
      </c>
      <c r="B28" s="31"/>
      <c r="I28" t="s">
        <v>152</v>
      </c>
      <c r="J28" t="s">
        <v>153</v>
      </c>
      <c r="K28" t="s">
        <v>154</v>
      </c>
      <c r="L28" t="s">
        <v>155</v>
      </c>
      <c r="M28" t="s">
        <v>156</v>
      </c>
      <c r="N28" t="s">
        <v>157</v>
      </c>
      <c r="O28"/>
      <c r="P28"/>
      <c r="Q28"/>
      <c r="R28"/>
    </row>
    <row r="29" spans="1:23" ht="17.850000000000001" customHeight="1">
      <c r="A29" s="16" t="s">
        <v>158</v>
      </c>
      <c r="B29" s="31" t="s">
        <v>1095</v>
      </c>
      <c r="I29" t="s">
        <v>159</v>
      </c>
      <c r="J29" t="s">
        <v>160</v>
      </c>
      <c r="K29" t="s">
        <v>161</v>
      </c>
      <c r="L29"/>
      <c r="M29"/>
      <c r="N29"/>
      <c r="O29"/>
      <c r="P29"/>
      <c r="Q29"/>
      <c r="R29"/>
    </row>
    <row r="30" spans="1:23" ht="17.850000000000001" customHeight="1">
      <c r="A30" s="16" t="s">
        <v>162</v>
      </c>
      <c r="B30" s="31" t="s">
        <v>1107</v>
      </c>
      <c r="I30" t="s">
        <v>163</v>
      </c>
      <c r="J30" t="s">
        <v>164</v>
      </c>
      <c r="K30" t="s">
        <v>165</v>
      </c>
      <c r="L30" t="s">
        <v>166</v>
      </c>
      <c r="M30" t="s">
        <v>167</v>
      </c>
      <c r="N30"/>
      <c r="O30"/>
      <c r="P30"/>
      <c r="Q30"/>
      <c r="R30"/>
    </row>
    <row r="31" spans="1:23" ht="17.850000000000001" customHeight="1">
      <c r="A31" s="16" t="s">
        <v>168</v>
      </c>
      <c r="B31" s="31" t="s">
        <v>1108</v>
      </c>
      <c r="I31" t="s">
        <v>169</v>
      </c>
      <c r="J31" t="s">
        <v>170</v>
      </c>
      <c r="K31" t="s">
        <v>171</v>
      </c>
      <c r="L31" t="s">
        <v>172</v>
      </c>
      <c r="M31" t="s">
        <v>173</v>
      </c>
      <c r="N31"/>
      <c r="O31"/>
      <c r="P31"/>
      <c r="Q31"/>
      <c r="R31"/>
    </row>
    <row r="32" spans="1:23" ht="17.850000000000001" customHeight="1">
      <c r="A32" s="16" t="s">
        <v>174</v>
      </c>
      <c r="B32" s="31" t="s">
        <v>1097</v>
      </c>
      <c r="I32" t="s">
        <v>175</v>
      </c>
      <c r="J32" t="s">
        <v>176</v>
      </c>
      <c r="K32" t="s">
        <v>177</v>
      </c>
      <c r="L32" t="s">
        <v>178</v>
      </c>
      <c r="M32" t="s">
        <v>179</v>
      </c>
      <c r="N32"/>
      <c r="O32"/>
      <c r="P32"/>
      <c r="Q32"/>
      <c r="R32"/>
    </row>
    <row r="33" spans="1:23" ht="17.850000000000001" customHeight="1">
      <c r="A33" s="16" t="s">
        <v>180</v>
      </c>
      <c r="B33" s="31" t="s">
        <v>1099</v>
      </c>
      <c r="I33" t="s">
        <v>181</v>
      </c>
      <c r="J33" t="s">
        <v>182</v>
      </c>
      <c r="K33" t="s">
        <v>183</v>
      </c>
      <c r="L33" t="s">
        <v>179</v>
      </c>
      <c r="M33"/>
      <c r="N33"/>
      <c r="O33"/>
      <c r="P33"/>
      <c r="Q33"/>
      <c r="R33"/>
    </row>
    <row r="34" spans="1:23" ht="17.850000000000001" customHeight="1" thickBot="1">
      <c r="A34" s="17" t="s">
        <v>184</v>
      </c>
      <c r="B34" s="32" t="s">
        <v>1100</v>
      </c>
      <c r="I34" t="s">
        <v>185</v>
      </c>
      <c r="J34" t="s">
        <v>186</v>
      </c>
      <c r="K34"/>
      <c r="L34"/>
      <c r="M34"/>
      <c r="N34"/>
      <c r="O34"/>
      <c r="P34"/>
      <c r="Q34"/>
      <c r="R34"/>
    </row>
    <row r="35" spans="1:23" ht="9" customHeight="1">
      <c r="A35" s="2"/>
      <c r="B35" s="237"/>
      <c r="C35" s="21"/>
      <c r="D35" s="21"/>
      <c r="E35" s="21"/>
      <c r="F35" s="21"/>
      <c r="G35" s="21"/>
      <c r="H35" s="21"/>
      <c r="I35" t="s">
        <v>187</v>
      </c>
      <c r="J35" t="s">
        <v>188</v>
      </c>
      <c r="K35" t="s">
        <v>189</v>
      </c>
      <c r="L35" t="s">
        <v>190</v>
      </c>
      <c r="M35" t="s">
        <v>191</v>
      </c>
      <c r="N35" t="s">
        <v>192</v>
      </c>
      <c r="O35"/>
      <c r="P35"/>
      <c r="Q35"/>
      <c r="R35"/>
      <c r="S35" s="21"/>
      <c r="T35" s="21"/>
      <c r="U35" s="21"/>
      <c r="V35" s="21"/>
      <c r="W35" s="21"/>
    </row>
    <row r="36" spans="1:23" ht="17.850000000000001" customHeight="1" thickBot="1">
      <c r="A36" s="2" t="s">
        <v>193</v>
      </c>
      <c r="B36" s="237"/>
      <c r="I36" t="s">
        <v>194</v>
      </c>
      <c r="J36" t="s">
        <v>195</v>
      </c>
      <c r="K36" t="s">
        <v>196</v>
      </c>
      <c r="L36" t="s">
        <v>197</v>
      </c>
      <c r="M36" t="s">
        <v>198</v>
      </c>
      <c r="N36"/>
      <c r="O36"/>
      <c r="P36"/>
      <c r="Q36"/>
      <c r="R36"/>
    </row>
    <row r="37" spans="1:23" ht="35.1" customHeight="1">
      <c r="A37" s="19" t="s">
        <v>199</v>
      </c>
      <c r="B37" s="33" t="s">
        <v>1093</v>
      </c>
      <c r="I37" t="s">
        <v>200</v>
      </c>
      <c r="J37" t="s">
        <v>201</v>
      </c>
      <c r="K37" t="s">
        <v>202</v>
      </c>
      <c r="L37"/>
      <c r="M37"/>
      <c r="N37"/>
      <c r="O37"/>
      <c r="P37"/>
      <c r="Q37"/>
      <c r="R37"/>
    </row>
    <row r="38" spans="1:23" ht="17.850000000000001" customHeight="1">
      <c r="A38" s="18" t="s">
        <v>203</v>
      </c>
      <c r="B38" s="34" t="s">
        <v>1109</v>
      </c>
      <c r="I38" t="s">
        <v>204</v>
      </c>
      <c r="J38" t="s">
        <v>205</v>
      </c>
      <c r="K38" t="s">
        <v>206</v>
      </c>
      <c r="L38"/>
      <c r="M38"/>
      <c r="N38"/>
      <c r="O38"/>
      <c r="P38"/>
      <c r="Q38"/>
      <c r="R38"/>
    </row>
    <row r="39" spans="1:23" ht="17.850000000000001" customHeight="1">
      <c r="A39" s="16" t="s">
        <v>162</v>
      </c>
      <c r="B39" s="31" t="s">
        <v>1110</v>
      </c>
      <c r="I39" t="s">
        <v>207</v>
      </c>
      <c r="J39" t="s">
        <v>208</v>
      </c>
      <c r="K39" t="s">
        <v>209</v>
      </c>
      <c r="L39" t="s">
        <v>210</v>
      </c>
      <c r="M39" t="s">
        <v>211</v>
      </c>
      <c r="N39" t="s">
        <v>212</v>
      </c>
      <c r="O39" t="s">
        <v>213</v>
      </c>
      <c r="P39"/>
      <c r="Q39"/>
      <c r="R39"/>
    </row>
    <row r="40" spans="1:23" ht="17.850000000000001" customHeight="1">
      <c r="A40" s="16" t="s">
        <v>214</v>
      </c>
      <c r="B40" s="31" t="s">
        <v>1108</v>
      </c>
      <c r="I40" t="s">
        <v>215</v>
      </c>
      <c r="J40" t="s">
        <v>216</v>
      </c>
      <c r="K40" t="s">
        <v>217</v>
      </c>
      <c r="L40" t="s">
        <v>218</v>
      </c>
      <c r="M40" t="s">
        <v>219</v>
      </c>
      <c r="N40" t="s">
        <v>220</v>
      </c>
      <c r="O40" t="s">
        <v>221</v>
      </c>
      <c r="P40"/>
      <c r="Q40"/>
      <c r="R40"/>
    </row>
    <row r="41" spans="1:23" ht="17.850000000000001" customHeight="1">
      <c r="A41" s="16" t="s">
        <v>222</v>
      </c>
      <c r="B41" s="31" t="s">
        <v>1097</v>
      </c>
      <c r="I41" t="s">
        <v>223</v>
      </c>
      <c r="J41" t="s">
        <v>224</v>
      </c>
      <c r="K41" t="s">
        <v>225</v>
      </c>
      <c r="L41" t="s">
        <v>226</v>
      </c>
      <c r="M41" t="s">
        <v>227</v>
      </c>
      <c r="N41" t="s">
        <v>84</v>
      </c>
      <c r="O41"/>
      <c r="P41"/>
      <c r="Q41"/>
      <c r="R41"/>
    </row>
    <row r="42" spans="1:23" ht="17.850000000000001" customHeight="1">
      <c r="A42" s="16" t="s">
        <v>228</v>
      </c>
      <c r="B42" s="31" t="s">
        <v>1103</v>
      </c>
      <c r="I42" t="s">
        <v>229</v>
      </c>
      <c r="J42" t="s">
        <v>230</v>
      </c>
      <c r="K42" t="s">
        <v>231</v>
      </c>
      <c r="L42"/>
      <c r="M42"/>
      <c r="N42"/>
      <c r="O42"/>
      <c r="P42"/>
      <c r="Q42"/>
      <c r="R42"/>
    </row>
    <row r="43" spans="1:23" ht="17.850000000000001" customHeight="1" thickBot="1">
      <c r="A43" s="17" t="s">
        <v>184</v>
      </c>
      <c r="B43" s="32" t="s">
        <v>1104</v>
      </c>
      <c r="I43" t="s">
        <v>232</v>
      </c>
      <c r="J43" t="s">
        <v>233</v>
      </c>
      <c r="K43" t="s">
        <v>234</v>
      </c>
      <c r="L43" t="s">
        <v>235</v>
      </c>
      <c r="M43"/>
      <c r="N43"/>
      <c r="O43"/>
      <c r="P43"/>
      <c r="Q43"/>
      <c r="R43"/>
    </row>
    <row r="44" spans="1:23" ht="23.25" customHeight="1">
      <c r="A44" s="2"/>
      <c r="B44" s="237"/>
      <c r="C44" s="21"/>
      <c r="D44" s="21"/>
      <c r="E44" s="21"/>
      <c r="F44" s="21"/>
      <c r="G44" s="21"/>
      <c r="H44" s="21"/>
      <c r="I44" t="s">
        <v>236</v>
      </c>
      <c r="J44" t="s">
        <v>237</v>
      </c>
      <c r="K44" t="s">
        <v>238</v>
      </c>
      <c r="L44" t="s">
        <v>239</v>
      </c>
      <c r="M44" t="s">
        <v>240</v>
      </c>
      <c r="N44" t="s">
        <v>241</v>
      </c>
      <c r="O44" t="s">
        <v>242</v>
      </c>
      <c r="P44"/>
      <c r="Q44"/>
      <c r="R44"/>
      <c r="S44" s="21"/>
      <c r="T44" s="21"/>
      <c r="U44" s="21"/>
      <c r="V44" s="21"/>
      <c r="W44" s="21"/>
    </row>
    <row r="45" spans="1:23" ht="17.850000000000001" customHeight="1" thickBot="1">
      <c r="A45" s="23" t="s">
        <v>243</v>
      </c>
      <c r="B45" s="238"/>
      <c r="I45" t="s">
        <v>244</v>
      </c>
      <c r="J45" t="s">
        <v>245</v>
      </c>
      <c r="K45" t="s">
        <v>246</v>
      </c>
      <c r="L45" t="s">
        <v>247</v>
      </c>
      <c r="M45" t="s">
        <v>248</v>
      </c>
      <c r="N45"/>
      <c r="O45"/>
      <c r="P45"/>
      <c r="Q45"/>
      <c r="R45"/>
    </row>
    <row r="46" spans="1:23" ht="33.75" customHeight="1">
      <c r="A46" s="188" t="s">
        <v>249</v>
      </c>
      <c r="B46" s="313" t="s">
        <v>49</v>
      </c>
      <c r="I46" t="s">
        <v>250</v>
      </c>
      <c r="J46" t="s">
        <v>251</v>
      </c>
      <c r="K46" t="s">
        <v>252</v>
      </c>
      <c r="L46" t="s">
        <v>253</v>
      </c>
      <c r="M46" t="s">
        <v>254</v>
      </c>
      <c r="N46" t="s">
        <v>255</v>
      </c>
      <c r="O46"/>
      <c r="P46"/>
      <c r="Q46"/>
      <c r="R46"/>
    </row>
    <row r="47" spans="1:23" ht="38.25" customHeight="1">
      <c r="A47" s="189" t="s">
        <v>256</v>
      </c>
      <c r="B47" s="314" t="str">
        <f>IF(COUNTIF(Researcher!$H$6:$H$100,A47)&gt;0,"○","")</f>
        <v/>
      </c>
      <c r="I47" t="s">
        <v>257</v>
      </c>
      <c r="J47" t="s">
        <v>258</v>
      </c>
      <c r="K47" t="s">
        <v>259</v>
      </c>
      <c r="L47" t="s">
        <v>260</v>
      </c>
      <c r="M47"/>
      <c r="N47"/>
      <c r="O47"/>
      <c r="P47"/>
      <c r="Q47"/>
      <c r="R47"/>
    </row>
    <row r="48" spans="1:23" ht="46.5" customHeight="1">
      <c r="A48" s="189" t="s">
        <v>261</v>
      </c>
      <c r="B48" s="314" t="s">
        <v>49</v>
      </c>
      <c r="I48" t="s">
        <v>262</v>
      </c>
      <c r="J48" t="s">
        <v>263</v>
      </c>
      <c r="K48" t="s">
        <v>264</v>
      </c>
      <c r="L48"/>
      <c r="M48"/>
      <c r="N48"/>
      <c r="O48"/>
      <c r="P48"/>
      <c r="Q48"/>
      <c r="R48"/>
    </row>
    <row r="49" spans="1:23" ht="51" customHeight="1">
      <c r="A49" s="189" t="s">
        <v>265</v>
      </c>
      <c r="B49" s="314" t="str">
        <f>IF(COUNTIF(Researcher!$H$6:$H$100,A49)&gt;0,"○","")</f>
        <v/>
      </c>
      <c r="I49" t="s">
        <v>266</v>
      </c>
      <c r="J49" t="s">
        <v>267</v>
      </c>
      <c r="K49" t="s">
        <v>268</v>
      </c>
      <c r="L49"/>
      <c r="M49"/>
      <c r="N49"/>
      <c r="O49"/>
      <c r="P49"/>
      <c r="Q49"/>
      <c r="R49"/>
    </row>
    <row r="50" spans="1:23" ht="47.25" customHeight="1">
      <c r="A50" s="189" t="s">
        <v>269</v>
      </c>
      <c r="B50" s="314" t="str">
        <f>IF(COUNTIF(Researcher!$H$6:$H$100,A50)&gt;0,"○","")</f>
        <v/>
      </c>
      <c r="I50" t="s">
        <v>270</v>
      </c>
      <c r="J50" t="s">
        <v>271</v>
      </c>
      <c r="K50" t="s">
        <v>272</v>
      </c>
      <c r="L50" t="s">
        <v>273</v>
      </c>
      <c r="M50" t="s">
        <v>274</v>
      </c>
      <c r="N50" t="s">
        <v>275</v>
      </c>
      <c r="O50"/>
      <c r="P50"/>
      <c r="Q50"/>
      <c r="R50"/>
    </row>
    <row r="51" spans="1:23" ht="49.5" customHeight="1">
      <c r="A51" s="189" t="s">
        <v>276</v>
      </c>
      <c r="B51" s="314" t="str">
        <f>IF(COUNTIF(Researcher!$H$6:$H$100,A51)&gt;0,"○","")</f>
        <v/>
      </c>
      <c r="I51" t="s">
        <v>277</v>
      </c>
      <c r="J51" t="s">
        <v>278</v>
      </c>
      <c r="K51" t="s">
        <v>279</v>
      </c>
      <c r="L51"/>
      <c r="M51"/>
      <c r="N51"/>
      <c r="O51"/>
      <c r="P51"/>
      <c r="Q51"/>
      <c r="R51"/>
    </row>
    <row r="52" spans="1:23" ht="48.75" customHeight="1">
      <c r="A52" s="189" t="s">
        <v>280</v>
      </c>
      <c r="B52" s="314" t="str">
        <f>IF(COUNTIF(Researcher!$H$6:$H$100,A52)&gt;0,"○","")</f>
        <v/>
      </c>
      <c r="I52" t="s">
        <v>281</v>
      </c>
      <c r="J52" t="s">
        <v>282</v>
      </c>
      <c r="K52" t="s">
        <v>283</v>
      </c>
      <c r="L52"/>
      <c r="M52"/>
      <c r="N52"/>
      <c r="O52"/>
      <c r="P52"/>
      <c r="Q52"/>
      <c r="R52"/>
    </row>
    <row r="53" spans="1:23" ht="53.25" customHeight="1" thickBot="1">
      <c r="A53" s="190" t="s">
        <v>284</v>
      </c>
      <c r="B53" s="315" t="str">
        <f>IF(COUNTIF(Researcher!$H$6:$H$100,A53)&gt;0,"○","")</f>
        <v/>
      </c>
      <c r="I53" t="s">
        <v>285</v>
      </c>
      <c r="J53" t="s">
        <v>286</v>
      </c>
      <c r="K53" t="s">
        <v>287</v>
      </c>
      <c r="L53" t="s">
        <v>288</v>
      </c>
      <c r="M53"/>
      <c r="N53"/>
      <c r="O53"/>
      <c r="P53"/>
      <c r="Q53"/>
      <c r="R53"/>
    </row>
    <row r="54" spans="1:23" ht="9" customHeight="1">
      <c r="A54" s="2"/>
      <c r="B54" s="2"/>
      <c r="C54" s="21"/>
      <c r="D54" s="21"/>
      <c r="E54" s="21"/>
      <c r="F54" s="21"/>
      <c r="G54" s="21"/>
      <c r="H54" s="21"/>
      <c r="I54" t="s">
        <v>289</v>
      </c>
      <c r="J54" t="s">
        <v>290</v>
      </c>
      <c r="K54" t="s">
        <v>291</v>
      </c>
      <c r="L54" t="s">
        <v>292</v>
      </c>
      <c r="M54"/>
      <c r="N54"/>
      <c r="O54"/>
      <c r="P54"/>
      <c r="Q54"/>
      <c r="R54"/>
      <c r="S54" s="21"/>
      <c r="T54" s="21"/>
      <c r="U54" s="21"/>
      <c r="V54" s="21"/>
      <c r="W54" s="21"/>
    </row>
    <row r="55" spans="1:23" ht="15" customHeight="1">
      <c r="A55" s="23" t="s">
        <v>293</v>
      </c>
      <c r="B55" s="2"/>
      <c r="C55" s="21"/>
      <c r="D55" s="21"/>
      <c r="E55" s="21"/>
      <c r="F55" s="21"/>
      <c r="G55" s="21"/>
      <c r="H55" s="21"/>
      <c r="I55" t="s">
        <v>294</v>
      </c>
      <c r="J55" t="s">
        <v>295</v>
      </c>
      <c r="K55" t="s">
        <v>296</v>
      </c>
      <c r="L55"/>
      <c r="M55"/>
      <c r="N55"/>
      <c r="O55"/>
      <c r="P55"/>
      <c r="Q55"/>
      <c r="R55"/>
    </row>
    <row r="56" spans="1:23" ht="44.25" customHeight="1" thickBot="1">
      <c r="A56" s="355" t="s">
        <v>297</v>
      </c>
      <c r="B56" s="23"/>
      <c r="C56" s="192" t="s">
        <v>298</v>
      </c>
      <c r="E56" s="43" t="s">
        <v>44</v>
      </c>
      <c r="I56" t="s">
        <v>299</v>
      </c>
      <c r="J56" t="s">
        <v>300</v>
      </c>
      <c r="K56" t="s">
        <v>301</v>
      </c>
      <c r="L56" t="s">
        <v>302</v>
      </c>
      <c r="M56"/>
      <c r="N56"/>
      <c r="O56"/>
      <c r="P56"/>
      <c r="Q56"/>
      <c r="R56"/>
    </row>
    <row r="57" spans="1:23" ht="45" customHeight="1" thickBot="1">
      <c r="A57" s="316" t="s">
        <v>303</v>
      </c>
      <c r="B57" s="317">
        <f ca="1">SUM(B58:B66)</f>
        <v>2500000</v>
      </c>
      <c r="C57" s="191" t="str">
        <f ca="1">IF(B57&gt;E57,"全拠点負担金総計の上限値 "&amp;TEXT($E$57,"#,###")&amp;" 円を超えています / Excessing maximum total Cost ","")</f>
        <v/>
      </c>
      <c r="D57" s="28"/>
      <c r="E57" s="163">
        <v>3600000</v>
      </c>
      <c r="F57" s="39" t="s">
        <v>304</v>
      </c>
      <c r="I57" t="s">
        <v>305</v>
      </c>
      <c r="J57" t="s">
        <v>306</v>
      </c>
      <c r="K57" t="s">
        <v>307</v>
      </c>
      <c r="L57" t="s">
        <v>308</v>
      </c>
      <c r="M57" t="s">
        <v>309</v>
      </c>
      <c r="N57" t="s">
        <v>310</v>
      </c>
      <c r="O57" t="s">
        <v>311</v>
      </c>
      <c r="P57"/>
      <c r="Q57"/>
      <c r="R57"/>
    </row>
    <row r="58" spans="1:23" ht="33">
      <c r="A58" s="188" t="s">
        <v>312</v>
      </c>
      <c r="B58" s="318">
        <v>1000000</v>
      </c>
      <c r="C58" s="191" t="str" cm="1">
        <f t="array" aca="1" ref="C58" ca="1">IF(LEN(INDIRECT("Hokkaido!$C$9"))&gt;0,"Hokkaidoシートで資源超過などが発生しています / Problems are present in Hokkaido sheet","")</f>
        <v/>
      </c>
      <c r="D58" s="28"/>
      <c r="I58" t="s">
        <v>313</v>
      </c>
      <c r="J58" t="s">
        <v>314</v>
      </c>
      <c r="K58" t="s">
        <v>315</v>
      </c>
      <c r="L58" t="s">
        <v>316</v>
      </c>
      <c r="M58" t="s">
        <v>317</v>
      </c>
      <c r="N58" t="s">
        <v>318</v>
      </c>
      <c r="O58" t="s">
        <v>319</v>
      </c>
      <c r="P58" t="s">
        <v>320</v>
      </c>
      <c r="Q58"/>
      <c r="R58"/>
    </row>
    <row r="59" spans="1:23" ht="33">
      <c r="A59" s="189" t="s">
        <v>321</v>
      </c>
      <c r="B59" s="319" cm="1">
        <f t="array" aca="1" ref="B59" ca="1">INDIRECT("Tohoku!$B$8")</f>
        <v>0</v>
      </c>
      <c r="C59" s="191" t="str" cm="1">
        <f t="array" aca="1" ref="C59" ca="1">IF(LEN(INDIRECT("Tohoku!$C$9"))&gt;0,"Tohokuシートで資源超過などが発生しています / Problems are present in Tohoku sheet","")</f>
        <v/>
      </c>
      <c r="D59" s="28"/>
      <c r="I59" t="s">
        <v>322</v>
      </c>
      <c r="J59" t="s">
        <v>323</v>
      </c>
      <c r="K59" t="s">
        <v>324</v>
      </c>
      <c r="L59" t="s">
        <v>325</v>
      </c>
      <c r="M59" t="s">
        <v>326</v>
      </c>
      <c r="N59"/>
      <c r="O59"/>
      <c r="P59"/>
      <c r="Q59"/>
      <c r="R59"/>
    </row>
    <row r="60" spans="1:23" ht="33">
      <c r="A60" s="189" t="s">
        <v>327</v>
      </c>
      <c r="B60" s="319" cm="1">
        <f t="array" aca="1" ref="B60" ca="1">INDIRECT("Tokyo!$B$8")</f>
        <v>0</v>
      </c>
      <c r="C60" s="191" t="str" cm="1">
        <f t="array" aca="1" ref="C60" ca="1">IF(LEN(INDIRECT("Tokyo!$C$9"))&gt;0,"Tokyoシートで資源超過などが発生しています / Problems are present in Tokyo sheet","")</f>
        <v/>
      </c>
      <c r="D60" s="28"/>
      <c r="I60" t="s">
        <v>328</v>
      </c>
      <c r="J60" t="s">
        <v>329</v>
      </c>
      <c r="K60" t="s">
        <v>330</v>
      </c>
      <c r="L60" t="s">
        <v>331</v>
      </c>
      <c r="M60" t="s">
        <v>332</v>
      </c>
      <c r="N60" t="s">
        <v>333</v>
      </c>
      <c r="O60"/>
      <c r="P60"/>
      <c r="Q60"/>
      <c r="R60"/>
    </row>
    <row r="61" spans="1:23" ht="49.5">
      <c r="A61" s="189" t="s">
        <v>265</v>
      </c>
      <c r="B61" s="319">
        <v>500000</v>
      </c>
      <c r="C61" s="191" t="str" cm="1">
        <f t="array" aca="1" ref="C61" ca="1">IF(LEN(INDIRECT("Science_Tokyo!$C$9"))&gt;0,"Science_Tokyoシートで資源超過などが発生しています / Problems are present in Science_Tokyo sheet","")</f>
        <v/>
      </c>
      <c r="D61" s="28"/>
      <c r="I61" t="s">
        <v>334</v>
      </c>
      <c r="J61" t="s">
        <v>335</v>
      </c>
      <c r="K61" t="s">
        <v>336</v>
      </c>
      <c r="L61" t="s">
        <v>337</v>
      </c>
      <c r="M61" t="s">
        <v>338</v>
      </c>
      <c r="N61"/>
      <c r="O61"/>
      <c r="P61"/>
      <c r="Q61"/>
      <c r="R61"/>
    </row>
    <row r="62" spans="1:23" ht="33">
      <c r="A62" s="189" t="s">
        <v>339</v>
      </c>
      <c r="B62" s="319" cm="1">
        <f t="array" aca="1" ref="B62" ca="1">INDIRECT("Nagoya!$B$8")</f>
        <v>0</v>
      </c>
      <c r="C62" s="191" t="str" cm="1">
        <f t="array" aca="1" ref="C62" ca="1">IF(LEN(INDIRECT("Nagoya!$C$9"))&gt;0,"Nagoyaシートで資源超過などが発生しています / Problems are present in Nagoya sheet","")</f>
        <v/>
      </c>
      <c r="D62" s="28"/>
      <c r="I62" t="s">
        <v>340</v>
      </c>
      <c r="J62" t="s">
        <v>341</v>
      </c>
      <c r="K62" t="s">
        <v>342</v>
      </c>
      <c r="L62" t="s">
        <v>343</v>
      </c>
      <c r="M62" t="s">
        <v>344</v>
      </c>
      <c r="N62" t="s">
        <v>345</v>
      </c>
      <c r="O62" t="s">
        <v>346</v>
      </c>
      <c r="P62"/>
      <c r="Q62"/>
      <c r="R62"/>
    </row>
    <row r="63" spans="1:23" ht="49.5">
      <c r="A63" s="189" t="s">
        <v>347</v>
      </c>
      <c r="B63" s="319" cm="1">
        <f t="array" aca="1" ref="B63" ca="1">INDIRECT("Kyoto!$B$8")</f>
        <v>0</v>
      </c>
      <c r="C63" s="191" t="str" cm="1">
        <f t="array" aca="1" ref="C63" ca="1">IF(LEN(INDIRECT("Kyoto!$C$9"))&gt;0,"Kyotoシートで資源超過などが発生しています / Problems are present in Kyoto sheet","")</f>
        <v/>
      </c>
      <c r="D63" s="28"/>
      <c r="I63" t="s">
        <v>348</v>
      </c>
      <c r="J63" t="s">
        <v>349</v>
      </c>
      <c r="K63" t="s">
        <v>350</v>
      </c>
      <c r="L63" t="s">
        <v>351</v>
      </c>
      <c r="M63" t="s">
        <v>352</v>
      </c>
      <c r="N63" t="s">
        <v>353</v>
      </c>
      <c r="O63"/>
      <c r="P63"/>
      <c r="Q63"/>
      <c r="R63"/>
    </row>
    <row r="64" spans="1:23" ht="33">
      <c r="A64" s="189" t="s">
        <v>280</v>
      </c>
      <c r="B64" s="319" cm="1">
        <f t="array" aca="1" ref="B64" ca="1">INDIRECT("Osaka!$B$8")</f>
        <v>0</v>
      </c>
      <c r="C64" s="191" t="str" cm="1">
        <f t="array" aca="1" ref="C64" ca="1">IF(LEN(INDIRECT("Osaka!$C$9"))&gt;0,"Osakaシートで資源超過などが発生しています / Problems are present in Osaka sheet","")</f>
        <v/>
      </c>
      <c r="D64" s="28"/>
      <c r="I64" t="s">
        <v>354</v>
      </c>
      <c r="J64" t="s">
        <v>355</v>
      </c>
      <c r="K64" t="s">
        <v>356</v>
      </c>
      <c r="L64" t="s">
        <v>357</v>
      </c>
      <c r="M64" t="s">
        <v>358</v>
      </c>
      <c r="N64" t="s">
        <v>359</v>
      </c>
      <c r="O64" t="s">
        <v>360</v>
      </c>
      <c r="P64"/>
      <c r="Q64"/>
      <c r="R64"/>
    </row>
    <row r="65" spans="1:18" ht="49.5">
      <c r="A65" s="189" t="s">
        <v>361</v>
      </c>
      <c r="B65" s="319" cm="1">
        <f t="array" aca="1" ref="B65" ca="1">INDIRECT("Kyushu!$B$8")</f>
        <v>0</v>
      </c>
      <c r="C65" s="191" t="str" cm="1">
        <f t="array" aca="1" ref="C65" ca="1">IF(LEN(INDIRECT("Kyushu!$C$9"))&gt;0,"Kyushuシートで資源超過などが発生しています / Problems are present in Kyushu sheet","")</f>
        <v/>
      </c>
      <c r="I65" t="s">
        <v>362</v>
      </c>
      <c r="J65" t="s">
        <v>363</v>
      </c>
      <c r="K65" t="s">
        <v>364</v>
      </c>
      <c r="L65" t="s">
        <v>365</v>
      </c>
      <c r="M65"/>
      <c r="N65"/>
      <c r="O65"/>
      <c r="P65"/>
      <c r="Q65"/>
      <c r="R65"/>
    </row>
    <row r="66" spans="1:18" ht="18" thickBot="1">
      <c r="A66" s="320" t="s">
        <v>366</v>
      </c>
      <c r="B66" s="500">
        <v>1000000</v>
      </c>
      <c r="C66" s="306"/>
      <c r="I66" t="s">
        <v>367</v>
      </c>
      <c r="J66" t="s">
        <v>368</v>
      </c>
      <c r="K66" t="s">
        <v>369</v>
      </c>
      <c r="L66" t="s">
        <v>370</v>
      </c>
      <c r="M66" t="s">
        <v>371</v>
      </c>
      <c r="N66" t="s">
        <v>372</v>
      </c>
      <c r="O66" t="s">
        <v>373</v>
      </c>
      <c r="P66"/>
      <c r="Q66"/>
      <c r="R66"/>
    </row>
    <row r="67" spans="1:18" ht="18" thickBot="1">
      <c r="A67" s="321"/>
      <c r="B67" s="322"/>
      <c r="C67" s="306"/>
      <c r="I67" t="s">
        <v>374</v>
      </c>
      <c r="J67" t="s">
        <v>375</v>
      </c>
      <c r="K67" t="s">
        <v>376</v>
      </c>
      <c r="L67" t="s">
        <v>377</v>
      </c>
      <c r="M67" t="s">
        <v>378</v>
      </c>
      <c r="N67"/>
      <c r="O67"/>
      <c r="P67"/>
      <c r="Q67"/>
      <c r="R67"/>
    </row>
    <row r="68" spans="1:18" ht="49.5" customHeight="1" thickBot="1">
      <c r="A68" s="323" t="s">
        <v>379</v>
      </c>
      <c r="B68" s="324">
        <f ca="1">IFERROR((INDIRECT("Hokkaido!$B$6")+INDIRECT("Tohoku!$B$6")+INDIRECT("Tokyo!$B$6")+INDIRECT("Science_Tokyo!$B$6")+INDIRECT("Nagoya!$B$6")+INDIRECT("Kyoto!$B$6")+INDIRECT("Osaka!$B$6")+INDIRECT("Kyushu!$B$6"))/(INDIRECT("Hokkaido!$B$5")+INDIRECT("Tohoku!$B$5")+INDIRECT("Tokyo!$B$5")+INDIRECT("Science_Tokyo!$B$5")+INDIRECT("Nagoya!$B$5")+INDIRECT("Kyoto!$B$5")+INDIRECT("Osaka!$B$5")+INDIRECT("Kyushu!$B$5")),0)</f>
        <v>0</v>
      </c>
      <c r="C68" s="302" t="str">
        <f ca="1">IF(B68&gt;E68,"(Warning) 優先確保資源利用料の合計が "&amp;TEXT($E$68,"0%")&amp;" を超えています(Noteを参照ください） / Total cost of high priority resource is excessing "&amp;TEXT($E$68,"0%")&amp;" (See Note)","")</f>
        <v/>
      </c>
      <c r="E68" s="300">
        <v>0.5</v>
      </c>
      <c r="F68" s="301" t="s">
        <v>380</v>
      </c>
      <c r="I68" t="s">
        <v>381</v>
      </c>
      <c r="J68" t="s">
        <v>382</v>
      </c>
      <c r="K68" t="s">
        <v>383</v>
      </c>
      <c r="L68" t="s">
        <v>384</v>
      </c>
      <c r="M68" t="s">
        <v>385</v>
      </c>
      <c r="N68" t="s">
        <v>386</v>
      </c>
      <c r="O68" t="s">
        <v>387</v>
      </c>
      <c r="P68" t="s">
        <v>388</v>
      </c>
      <c r="Q68"/>
      <c r="R68"/>
    </row>
    <row r="69" spans="1:18">
      <c r="I69" t="s">
        <v>389</v>
      </c>
      <c r="J69" t="s">
        <v>390</v>
      </c>
      <c r="K69" t="s">
        <v>391</v>
      </c>
      <c r="L69"/>
      <c r="M69"/>
      <c r="N69"/>
      <c r="O69"/>
      <c r="P69"/>
      <c r="Q69"/>
      <c r="R69"/>
    </row>
    <row r="70" spans="1:18">
      <c r="I70" t="s">
        <v>392</v>
      </c>
      <c r="J70" t="s">
        <v>393</v>
      </c>
      <c r="K70" t="s">
        <v>394</v>
      </c>
      <c r="L70" t="s">
        <v>395</v>
      </c>
      <c r="M70"/>
      <c r="N70"/>
      <c r="O70"/>
      <c r="P70"/>
      <c r="Q70"/>
      <c r="R70"/>
    </row>
    <row r="71" spans="1:18">
      <c r="I71" t="s">
        <v>396</v>
      </c>
      <c r="J71" t="s">
        <v>397</v>
      </c>
      <c r="K71" t="s">
        <v>398</v>
      </c>
      <c r="L71" t="s">
        <v>399</v>
      </c>
      <c r="M71" t="s">
        <v>400</v>
      </c>
      <c r="N71" t="s">
        <v>401</v>
      </c>
      <c r="O71"/>
      <c r="P71"/>
      <c r="Q71"/>
      <c r="R71"/>
    </row>
    <row r="72" spans="1:18">
      <c r="I72" t="s">
        <v>402</v>
      </c>
      <c r="J72" t="s">
        <v>403</v>
      </c>
      <c r="K72" t="s">
        <v>404</v>
      </c>
      <c r="L72" t="s">
        <v>405</v>
      </c>
      <c r="M72" t="s">
        <v>406</v>
      </c>
      <c r="N72" t="s">
        <v>407</v>
      </c>
      <c r="O72"/>
      <c r="P72"/>
      <c r="Q72"/>
      <c r="R72"/>
    </row>
    <row r="73" spans="1:18">
      <c r="I73" t="s">
        <v>408</v>
      </c>
      <c r="J73" t="s">
        <v>409</v>
      </c>
      <c r="K73" t="s">
        <v>410</v>
      </c>
      <c r="L73" t="s">
        <v>411</v>
      </c>
      <c r="M73" t="s">
        <v>412</v>
      </c>
      <c r="N73"/>
      <c r="O73"/>
      <c r="P73"/>
      <c r="Q73"/>
      <c r="R73"/>
    </row>
    <row r="74" spans="1:18">
      <c r="I74" t="s">
        <v>413</v>
      </c>
      <c r="J74" t="s">
        <v>414</v>
      </c>
      <c r="K74" t="s">
        <v>415</v>
      </c>
      <c r="L74" t="s">
        <v>416</v>
      </c>
      <c r="M74" t="s">
        <v>417</v>
      </c>
      <c r="N74" t="s">
        <v>418</v>
      </c>
      <c r="O74" t="s">
        <v>419</v>
      </c>
      <c r="P74"/>
      <c r="Q74"/>
      <c r="R74"/>
    </row>
    <row r="75" spans="1:18">
      <c r="I75" t="s">
        <v>420</v>
      </c>
      <c r="J75" t="s">
        <v>421</v>
      </c>
      <c r="K75" t="s">
        <v>422</v>
      </c>
      <c r="L75" t="s">
        <v>423</v>
      </c>
      <c r="M75" t="s">
        <v>424</v>
      </c>
      <c r="N75" t="s">
        <v>425</v>
      </c>
      <c r="O75" t="s">
        <v>426</v>
      </c>
      <c r="P75" t="s">
        <v>427</v>
      </c>
      <c r="Q75"/>
      <c r="R75"/>
    </row>
    <row r="76" spans="1:18">
      <c r="I76" t="s">
        <v>428</v>
      </c>
      <c r="J76" t="s">
        <v>429</v>
      </c>
      <c r="K76" t="s">
        <v>430</v>
      </c>
      <c r="L76" t="s">
        <v>431</v>
      </c>
      <c r="M76" t="s">
        <v>432</v>
      </c>
      <c r="N76" t="s">
        <v>433</v>
      </c>
      <c r="O76" t="s">
        <v>434</v>
      </c>
      <c r="P76" t="s">
        <v>435</v>
      </c>
      <c r="Q76" t="s">
        <v>436</v>
      </c>
      <c r="R76"/>
    </row>
    <row r="77" spans="1:18">
      <c r="I77" t="s">
        <v>437</v>
      </c>
      <c r="J77" t="s">
        <v>438</v>
      </c>
      <c r="K77" t="s">
        <v>439</v>
      </c>
      <c r="L77" t="s">
        <v>440</v>
      </c>
      <c r="M77" t="s">
        <v>441</v>
      </c>
      <c r="N77" t="s">
        <v>442</v>
      </c>
      <c r="O77" t="s">
        <v>443</v>
      </c>
      <c r="P77" t="s">
        <v>444</v>
      </c>
      <c r="Q77" t="s">
        <v>445</v>
      </c>
      <c r="R77"/>
    </row>
    <row r="78" spans="1:18">
      <c r="I78" t="s">
        <v>446</v>
      </c>
      <c r="J78" t="s">
        <v>447</v>
      </c>
      <c r="K78" t="s">
        <v>448</v>
      </c>
      <c r="L78" t="s">
        <v>449</v>
      </c>
      <c r="M78" t="s">
        <v>450</v>
      </c>
      <c r="N78"/>
      <c r="O78"/>
      <c r="P78"/>
      <c r="Q78"/>
      <c r="R78"/>
    </row>
    <row r="79" spans="1:18">
      <c r="I79" t="s">
        <v>270</v>
      </c>
      <c r="J79" t="s">
        <v>271</v>
      </c>
      <c r="K79" t="s">
        <v>272</v>
      </c>
      <c r="L79" t="s">
        <v>273</v>
      </c>
      <c r="M79" t="s">
        <v>274</v>
      </c>
      <c r="N79" t="s">
        <v>275</v>
      </c>
      <c r="O79"/>
      <c r="P79"/>
      <c r="Q79"/>
      <c r="R79"/>
    </row>
    <row r="80" spans="1:18">
      <c r="I80" t="s">
        <v>451</v>
      </c>
      <c r="J80" t="s">
        <v>452</v>
      </c>
      <c r="K80" t="s">
        <v>453</v>
      </c>
      <c r="L80" t="s">
        <v>454</v>
      </c>
      <c r="M80" t="s">
        <v>455</v>
      </c>
      <c r="N80" t="s">
        <v>456</v>
      </c>
      <c r="O80"/>
      <c r="P80"/>
      <c r="Q80"/>
      <c r="R80"/>
    </row>
    <row r="81" spans="9:19">
      <c r="I81" t="s">
        <v>457</v>
      </c>
      <c r="J81" t="s">
        <v>458</v>
      </c>
      <c r="K81" t="s">
        <v>459</v>
      </c>
      <c r="L81" t="s">
        <v>460</v>
      </c>
      <c r="M81" t="s">
        <v>461</v>
      </c>
      <c r="N81"/>
      <c r="O81"/>
      <c r="P81"/>
      <c r="Q81"/>
      <c r="R81"/>
    </row>
    <row r="82" spans="9:19">
      <c r="I82" s="310" t="s">
        <v>462</v>
      </c>
      <c r="J82" s="1" t="s">
        <v>463</v>
      </c>
      <c r="K82" s="310" t="s">
        <v>464</v>
      </c>
    </row>
    <row r="83" spans="9:19">
      <c r="I83" s="25" t="s">
        <v>465</v>
      </c>
      <c r="J83" s="25" t="s">
        <v>466</v>
      </c>
      <c r="K83" s="25" t="s">
        <v>467</v>
      </c>
      <c r="L83" s="25" t="s">
        <v>468</v>
      </c>
      <c r="M83" s="25" t="s">
        <v>469</v>
      </c>
      <c r="N83" s="25" t="s">
        <v>470</v>
      </c>
      <c r="O83" s="25" t="s">
        <v>471</v>
      </c>
      <c r="P83" s="25" t="s">
        <v>472</v>
      </c>
      <c r="Q83" s="25" t="s">
        <v>473</v>
      </c>
      <c r="R83" s="25" t="s">
        <v>474</v>
      </c>
      <c r="S83" s="25" t="s">
        <v>475</v>
      </c>
    </row>
    <row r="84" spans="9:19">
      <c r="I84" s="25" t="s">
        <v>476</v>
      </c>
      <c r="J84" s="25" t="s">
        <v>477</v>
      </c>
      <c r="K84" s="25" t="s">
        <v>478</v>
      </c>
      <c r="L84" s="25" t="s">
        <v>479</v>
      </c>
      <c r="M84" s="25" t="s">
        <v>480</v>
      </c>
      <c r="N84" s="25" t="s">
        <v>481</v>
      </c>
      <c r="O84" s="25" t="s">
        <v>482</v>
      </c>
      <c r="P84" s="25" t="s">
        <v>483</v>
      </c>
      <c r="Q84" s="25" t="s">
        <v>484</v>
      </c>
      <c r="R84" s="25" t="s">
        <v>485</v>
      </c>
      <c r="S84" s="25" t="s">
        <v>486</v>
      </c>
    </row>
    <row r="85" spans="9:19">
      <c r="I85" s="25" t="s">
        <v>487</v>
      </c>
      <c r="J85" s="25" t="s">
        <v>488</v>
      </c>
      <c r="K85" s="25" t="s">
        <v>489</v>
      </c>
      <c r="L85" s="25" t="s">
        <v>490</v>
      </c>
      <c r="M85" s="25" t="s">
        <v>491</v>
      </c>
      <c r="N85" s="25" t="s">
        <v>492</v>
      </c>
      <c r="O85" s="25" t="s">
        <v>493</v>
      </c>
      <c r="P85" s="25" t="s">
        <v>494</v>
      </c>
      <c r="Q85" s="25" t="s">
        <v>495</v>
      </c>
      <c r="R85" s="25"/>
      <c r="S85" s="25"/>
    </row>
    <row r="86" spans="9:19">
      <c r="I86" s="25" t="s">
        <v>496</v>
      </c>
      <c r="J86" s="25" t="s">
        <v>497</v>
      </c>
      <c r="K86" s="25" t="s">
        <v>498</v>
      </c>
      <c r="L86" s="25" t="s">
        <v>499</v>
      </c>
      <c r="M86" s="25" t="s">
        <v>500</v>
      </c>
      <c r="N86" s="25" t="s">
        <v>501</v>
      </c>
      <c r="O86" s="25" t="s">
        <v>502</v>
      </c>
      <c r="P86" s="25" t="s">
        <v>503</v>
      </c>
      <c r="Q86" s="25" t="s">
        <v>504</v>
      </c>
      <c r="R86" s="25" t="s">
        <v>505</v>
      </c>
      <c r="S86" s="25"/>
    </row>
    <row r="87" spans="9:19">
      <c r="I87" s="25" t="s">
        <v>506</v>
      </c>
      <c r="J87" s="25" t="s">
        <v>507</v>
      </c>
      <c r="K87" s="25" t="s">
        <v>508</v>
      </c>
      <c r="L87" s="25" t="s">
        <v>509</v>
      </c>
      <c r="M87" s="25" t="s">
        <v>510</v>
      </c>
      <c r="N87" s="25" t="s">
        <v>511</v>
      </c>
      <c r="O87" s="25" t="s">
        <v>512</v>
      </c>
      <c r="P87" s="25" t="s">
        <v>513</v>
      </c>
      <c r="Q87" s="25" t="s">
        <v>514</v>
      </c>
      <c r="R87" s="25" t="s">
        <v>515</v>
      </c>
      <c r="S87" s="25"/>
    </row>
    <row r="88" spans="9:19">
      <c r="I88" s="25" t="s">
        <v>516</v>
      </c>
      <c r="J88" s="25" t="s">
        <v>517</v>
      </c>
      <c r="K88" s="25" t="s">
        <v>518</v>
      </c>
      <c r="L88" s="25" t="s">
        <v>519</v>
      </c>
      <c r="M88" s="25" t="s">
        <v>520</v>
      </c>
      <c r="N88" s="25" t="s">
        <v>521</v>
      </c>
      <c r="O88" s="25" t="s">
        <v>522</v>
      </c>
      <c r="P88" s="25" t="s">
        <v>523</v>
      </c>
      <c r="Q88" s="25" t="s">
        <v>524</v>
      </c>
      <c r="R88" s="25" t="s">
        <v>525</v>
      </c>
      <c r="S88" s="25" t="s">
        <v>526</v>
      </c>
    </row>
    <row r="89" spans="9:19">
      <c r="I89" s="25" t="s">
        <v>527</v>
      </c>
      <c r="J89" s="25" t="s">
        <v>528</v>
      </c>
      <c r="K89" s="25" t="s">
        <v>529</v>
      </c>
      <c r="L89" s="25" t="s">
        <v>530</v>
      </c>
      <c r="M89" s="25" t="s">
        <v>531</v>
      </c>
      <c r="N89" s="25" t="s">
        <v>532</v>
      </c>
      <c r="O89" s="25" t="s">
        <v>533</v>
      </c>
      <c r="P89" s="25" t="s">
        <v>534</v>
      </c>
      <c r="Q89" s="25" t="s">
        <v>535</v>
      </c>
      <c r="R89" s="25" t="s">
        <v>536</v>
      </c>
      <c r="S89" s="25" t="s">
        <v>537</v>
      </c>
    </row>
    <row r="90" spans="9:19">
      <c r="I90" s="25" t="s">
        <v>538</v>
      </c>
      <c r="J90" s="25" t="s">
        <v>539</v>
      </c>
      <c r="K90" s="25" t="s">
        <v>540</v>
      </c>
      <c r="L90" s="25" t="s">
        <v>541</v>
      </c>
      <c r="M90" s="25" t="s">
        <v>542</v>
      </c>
      <c r="N90" s="25" t="s">
        <v>543</v>
      </c>
      <c r="O90" s="25" t="s">
        <v>544</v>
      </c>
      <c r="P90" s="25" t="s">
        <v>545</v>
      </c>
      <c r="Q90" s="25" t="s">
        <v>546</v>
      </c>
      <c r="R90" s="25"/>
      <c r="S90" s="25"/>
    </row>
    <row r="91" spans="9:19">
      <c r="I91" s="25" t="s">
        <v>547</v>
      </c>
      <c r="J91" s="25" t="s">
        <v>548</v>
      </c>
      <c r="K91" s="25" t="s">
        <v>549</v>
      </c>
      <c r="L91" s="25" t="s">
        <v>513</v>
      </c>
      <c r="M91" s="25" t="s">
        <v>550</v>
      </c>
      <c r="N91" s="25" t="s">
        <v>551</v>
      </c>
      <c r="O91" s="25" t="s">
        <v>552</v>
      </c>
      <c r="P91" s="25" t="s">
        <v>553</v>
      </c>
      <c r="Q91" s="25"/>
      <c r="R91" s="25"/>
      <c r="S91" s="25"/>
    </row>
    <row r="92" spans="9:19">
      <c r="I92" s="25" t="s">
        <v>554</v>
      </c>
      <c r="J92" s="25" t="s">
        <v>555</v>
      </c>
      <c r="K92" s="25" t="s">
        <v>556</v>
      </c>
      <c r="L92" s="25" t="s">
        <v>557</v>
      </c>
      <c r="M92" s="25" t="s">
        <v>558</v>
      </c>
      <c r="N92" s="25" t="s">
        <v>559</v>
      </c>
      <c r="O92" s="25" t="s">
        <v>560</v>
      </c>
      <c r="P92" s="25" t="s">
        <v>561</v>
      </c>
      <c r="Q92" s="25" t="s">
        <v>562</v>
      </c>
      <c r="R92" s="25"/>
      <c r="S92" s="25"/>
    </row>
    <row r="93" spans="9:19">
      <c r="I93" s="25" t="s">
        <v>563</v>
      </c>
      <c r="J93" s="25" t="s">
        <v>564</v>
      </c>
      <c r="K93" s="25" t="s">
        <v>565</v>
      </c>
      <c r="L93" s="25" t="s">
        <v>566</v>
      </c>
      <c r="M93" s="25" t="s">
        <v>567</v>
      </c>
      <c r="N93" s="25" t="s">
        <v>568</v>
      </c>
      <c r="O93" s="25" t="s">
        <v>569</v>
      </c>
      <c r="P93" s="25" t="s">
        <v>570</v>
      </c>
      <c r="Q93" s="25" t="s">
        <v>571</v>
      </c>
      <c r="R93" s="25" t="s">
        <v>572</v>
      </c>
      <c r="S93" s="25"/>
    </row>
    <row r="94" spans="9:19">
      <c r="I94" s="25" t="s">
        <v>573</v>
      </c>
      <c r="J94" s="25" t="s">
        <v>574</v>
      </c>
      <c r="K94" s="25" t="s">
        <v>575</v>
      </c>
      <c r="L94" s="25" t="s">
        <v>576</v>
      </c>
      <c r="M94" s="25" t="s">
        <v>577</v>
      </c>
      <c r="N94" s="25" t="s">
        <v>578</v>
      </c>
      <c r="O94" s="25" t="s">
        <v>579</v>
      </c>
      <c r="P94" s="25" t="s">
        <v>580</v>
      </c>
      <c r="Q94" s="25" t="s">
        <v>581</v>
      </c>
      <c r="R94" s="25" t="s">
        <v>582</v>
      </c>
      <c r="S94" s="25" t="s">
        <v>583</v>
      </c>
    </row>
    <row r="95" spans="9:19">
      <c r="I95" s="25" t="s">
        <v>584</v>
      </c>
      <c r="J95" s="25" t="s">
        <v>585</v>
      </c>
      <c r="K95" s="25" t="s">
        <v>586</v>
      </c>
      <c r="L95" s="25" t="s">
        <v>587</v>
      </c>
      <c r="M95" s="25" t="s">
        <v>588</v>
      </c>
      <c r="N95" s="25" t="s">
        <v>589</v>
      </c>
      <c r="O95" s="25" t="s">
        <v>590</v>
      </c>
      <c r="P95" s="25" t="s">
        <v>591</v>
      </c>
      <c r="Q95" s="25" t="s">
        <v>592</v>
      </c>
      <c r="R95" s="25" t="s">
        <v>593</v>
      </c>
      <c r="S95" s="25" t="s">
        <v>594</v>
      </c>
    </row>
    <row r="96" spans="9:19">
      <c r="I96" s="25" t="s">
        <v>595</v>
      </c>
      <c r="J96" s="25" t="s">
        <v>596</v>
      </c>
      <c r="K96" s="25" t="s">
        <v>597</v>
      </c>
      <c r="L96" s="25" t="s">
        <v>598</v>
      </c>
      <c r="M96" s="25" t="s">
        <v>599</v>
      </c>
      <c r="N96" s="25" t="s">
        <v>600</v>
      </c>
      <c r="O96" s="25" t="s">
        <v>601</v>
      </c>
      <c r="P96" s="25"/>
      <c r="Q96" s="25"/>
      <c r="R96" s="25"/>
      <c r="S96" s="25"/>
    </row>
    <row r="97" spans="9:19">
      <c r="I97" s="25" t="s">
        <v>602</v>
      </c>
      <c r="J97" s="25" t="s">
        <v>603</v>
      </c>
      <c r="K97" s="25" t="s">
        <v>604</v>
      </c>
      <c r="L97" s="25" t="s">
        <v>605</v>
      </c>
      <c r="M97" s="25" t="s">
        <v>606</v>
      </c>
      <c r="N97" s="25" t="s">
        <v>607</v>
      </c>
      <c r="O97" s="25" t="s">
        <v>608</v>
      </c>
      <c r="P97" s="25" t="s">
        <v>609</v>
      </c>
      <c r="Q97" s="25" t="s">
        <v>610</v>
      </c>
      <c r="R97" s="25" t="s">
        <v>611</v>
      </c>
      <c r="S97" s="25"/>
    </row>
    <row r="98" spans="9:19">
      <c r="I98" s="25" t="s">
        <v>612</v>
      </c>
      <c r="J98" s="25" t="s">
        <v>613</v>
      </c>
      <c r="K98" s="25" t="s">
        <v>614</v>
      </c>
      <c r="L98" s="25" t="s">
        <v>615</v>
      </c>
      <c r="M98" s="25" t="s">
        <v>616</v>
      </c>
      <c r="N98" s="25" t="s">
        <v>617</v>
      </c>
      <c r="O98" s="25" t="s">
        <v>618</v>
      </c>
      <c r="P98" s="25" t="s">
        <v>619</v>
      </c>
      <c r="Q98" s="25" t="s">
        <v>620</v>
      </c>
      <c r="R98" s="25" t="s">
        <v>621</v>
      </c>
      <c r="S98" s="25" t="s">
        <v>622</v>
      </c>
    </row>
    <row r="99" spans="9:19">
      <c r="I99" s="25" t="s">
        <v>623</v>
      </c>
      <c r="J99" s="25" t="s">
        <v>624</v>
      </c>
      <c r="K99" s="25" t="s">
        <v>625</v>
      </c>
      <c r="L99" s="25" t="s">
        <v>626</v>
      </c>
      <c r="M99" s="25" t="s">
        <v>627</v>
      </c>
      <c r="N99" s="25" t="s">
        <v>628</v>
      </c>
      <c r="O99" s="25" t="s">
        <v>629</v>
      </c>
      <c r="P99" s="25" t="s">
        <v>630</v>
      </c>
      <c r="Q99" s="25" t="s">
        <v>631</v>
      </c>
      <c r="R99" s="25" t="s">
        <v>632</v>
      </c>
      <c r="S99" s="25" t="s">
        <v>633</v>
      </c>
    </row>
    <row r="100" spans="9:19">
      <c r="I100" s="25" t="s">
        <v>634</v>
      </c>
      <c r="J100" s="25" t="s">
        <v>635</v>
      </c>
      <c r="K100" s="25" t="s">
        <v>636</v>
      </c>
      <c r="L100" s="25" t="s">
        <v>637</v>
      </c>
      <c r="M100" s="25" t="s">
        <v>638</v>
      </c>
      <c r="N100" s="25" t="s">
        <v>639</v>
      </c>
      <c r="O100" s="25" t="s">
        <v>640</v>
      </c>
      <c r="P100" s="25" t="s">
        <v>641</v>
      </c>
      <c r="Q100" s="25" t="s">
        <v>642</v>
      </c>
      <c r="R100" s="25"/>
      <c r="S100" s="25"/>
    </row>
    <row r="101" spans="9:19">
      <c r="I101" s="25"/>
      <c r="J101" s="25"/>
      <c r="K101" s="25"/>
      <c r="L101" s="25"/>
      <c r="M101" s="25"/>
      <c r="N101" s="25"/>
      <c r="O101" s="25"/>
      <c r="P101" s="25"/>
      <c r="Q101" s="25"/>
      <c r="R101" s="25"/>
      <c r="S101" s="25"/>
    </row>
    <row r="102" spans="9:19">
      <c r="I102" s="25" t="s">
        <v>643</v>
      </c>
      <c r="J102" s="25" t="s">
        <v>644</v>
      </c>
      <c r="K102" s="25" t="s">
        <v>645</v>
      </c>
      <c r="L102" s="25" t="s">
        <v>646</v>
      </c>
      <c r="M102" s="25" t="s">
        <v>647</v>
      </c>
      <c r="N102" s="25" t="s">
        <v>648</v>
      </c>
      <c r="O102" s="25" t="s">
        <v>649</v>
      </c>
      <c r="P102" s="25" t="s">
        <v>650</v>
      </c>
      <c r="Q102" s="25" t="s">
        <v>651</v>
      </c>
      <c r="R102" s="25" t="s">
        <v>652</v>
      </c>
      <c r="S102" s="25" t="s">
        <v>653</v>
      </c>
    </row>
    <row r="103" spans="9:19">
      <c r="I103" s="25" t="s">
        <v>654</v>
      </c>
      <c r="J103" s="25" t="s">
        <v>655</v>
      </c>
      <c r="K103" s="25" t="s">
        <v>656</v>
      </c>
      <c r="L103" s="25" t="s">
        <v>657</v>
      </c>
      <c r="M103" s="25" t="s">
        <v>658</v>
      </c>
      <c r="N103" s="25" t="s">
        <v>659</v>
      </c>
      <c r="O103" s="25" t="s">
        <v>660</v>
      </c>
      <c r="P103" s="25" t="s">
        <v>661</v>
      </c>
      <c r="Q103" s="25" t="s">
        <v>662</v>
      </c>
      <c r="R103" s="25" t="s">
        <v>663</v>
      </c>
      <c r="S103" s="25" t="s">
        <v>664</v>
      </c>
    </row>
    <row r="104" spans="9:19">
      <c r="I104" s="25" t="s">
        <v>665</v>
      </c>
      <c r="J104" s="25" t="s">
        <v>666</v>
      </c>
      <c r="K104" s="25" t="s">
        <v>667</v>
      </c>
      <c r="L104" s="25" t="s">
        <v>668</v>
      </c>
      <c r="M104" s="25" t="s">
        <v>669</v>
      </c>
      <c r="N104" s="25" t="s">
        <v>670</v>
      </c>
      <c r="O104" s="25" t="s">
        <v>671</v>
      </c>
      <c r="P104" s="25" t="s">
        <v>672</v>
      </c>
      <c r="Q104" s="25" t="s">
        <v>673</v>
      </c>
      <c r="R104" s="25"/>
      <c r="S104" s="25"/>
    </row>
    <row r="105" spans="9:19">
      <c r="I105" s="25" t="s">
        <v>674</v>
      </c>
      <c r="J105" s="25" t="s">
        <v>675</v>
      </c>
      <c r="K105" s="25" t="s">
        <v>676</v>
      </c>
      <c r="L105" s="25" t="s">
        <v>677</v>
      </c>
      <c r="M105" s="25" t="s">
        <v>678</v>
      </c>
      <c r="N105" s="25" t="s">
        <v>679</v>
      </c>
      <c r="O105" s="25" t="s">
        <v>680</v>
      </c>
      <c r="P105" s="25" t="s">
        <v>681</v>
      </c>
      <c r="Q105" s="25" t="s">
        <v>682</v>
      </c>
      <c r="R105" s="25" t="s">
        <v>683</v>
      </c>
      <c r="S105" s="25"/>
    </row>
    <row r="106" spans="9:19">
      <c r="I106" s="310" t="s">
        <v>684</v>
      </c>
      <c r="J106" s="1" t="s">
        <v>685</v>
      </c>
      <c r="K106" s="310" t="s">
        <v>686</v>
      </c>
      <c r="L106" s="1" t="s">
        <v>687</v>
      </c>
      <c r="M106" s="1" t="s">
        <v>688</v>
      </c>
      <c r="N106" s="1" t="s">
        <v>689</v>
      </c>
      <c r="O106" s="1" t="s">
        <v>690</v>
      </c>
      <c r="P106" s="1" t="s">
        <v>691</v>
      </c>
      <c r="Q106" s="1" t="s">
        <v>692</v>
      </c>
      <c r="R106" s="1" t="s">
        <v>693</v>
      </c>
      <c r="S106" s="25"/>
    </row>
    <row r="107" spans="9:19">
      <c r="I107" s="310" t="s">
        <v>694</v>
      </c>
      <c r="J107" s="1" t="s">
        <v>695</v>
      </c>
      <c r="K107" s="310" t="s">
        <v>696</v>
      </c>
      <c r="L107" s="1" t="s">
        <v>697</v>
      </c>
      <c r="M107" s="1" t="s">
        <v>698</v>
      </c>
      <c r="N107" s="1" t="s">
        <v>699</v>
      </c>
      <c r="O107" s="1" t="s">
        <v>700</v>
      </c>
      <c r="P107" s="1" t="s">
        <v>701</v>
      </c>
      <c r="Q107" s="1" t="s">
        <v>702</v>
      </c>
      <c r="R107" s="1" t="s">
        <v>703</v>
      </c>
      <c r="S107" s="25" t="s">
        <v>704</v>
      </c>
    </row>
    <row r="108" spans="9:19">
      <c r="I108" s="310" t="s">
        <v>705</v>
      </c>
      <c r="J108" s="1" t="s">
        <v>706</v>
      </c>
      <c r="K108" s="310" t="s">
        <v>707</v>
      </c>
      <c r="L108" s="1" t="s">
        <v>708</v>
      </c>
      <c r="M108" s="1" t="s">
        <v>709</v>
      </c>
      <c r="N108" s="1" t="s">
        <v>710</v>
      </c>
      <c r="O108" s="1" t="s">
        <v>711</v>
      </c>
      <c r="P108" s="1" t="s">
        <v>712</v>
      </c>
      <c r="Q108" s="1" t="s">
        <v>713</v>
      </c>
      <c r="R108" s="1" t="s">
        <v>714</v>
      </c>
      <c r="S108" s="25" t="s">
        <v>715</v>
      </c>
    </row>
    <row r="109" spans="9:19">
      <c r="I109" s="310" t="s">
        <v>716</v>
      </c>
      <c r="J109" s="1" t="s">
        <v>717</v>
      </c>
      <c r="K109" s="310" t="s">
        <v>718</v>
      </c>
      <c r="L109" s="1" t="s">
        <v>719</v>
      </c>
      <c r="M109" s="1" t="s">
        <v>720</v>
      </c>
      <c r="N109" s="1" t="s">
        <v>721</v>
      </c>
      <c r="O109" s="1" t="s">
        <v>722</v>
      </c>
      <c r="P109" s="1" t="s">
        <v>723</v>
      </c>
      <c r="Q109" s="1" t="s">
        <v>724</v>
      </c>
      <c r="S109" s="25"/>
    </row>
    <row r="110" spans="9:19">
      <c r="I110" s="310" t="s">
        <v>725</v>
      </c>
      <c r="J110" s="1" t="s">
        <v>726</v>
      </c>
      <c r="K110" s="310" t="s">
        <v>727</v>
      </c>
      <c r="L110" s="1" t="s">
        <v>728</v>
      </c>
      <c r="M110" s="1" t="s">
        <v>729</v>
      </c>
      <c r="N110" s="1" t="s">
        <v>730</v>
      </c>
      <c r="O110" s="1" t="s">
        <v>731</v>
      </c>
      <c r="P110" s="1" t="s">
        <v>732</v>
      </c>
      <c r="S110" s="25"/>
    </row>
    <row r="111" spans="9:19">
      <c r="I111" s="310" t="s">
        <v>733</v>
      </c>
      <c r="J111" s="1" t="s">
        <v>734</v>
      </c>
      <c r="K111" s="310" t="s">
        <v>735</v>
      </c>
      <c r="L111" s="1" t="s">
        <v>736</v>
      </c>
      <c r="M111" s="1" t="s">
        <v>737</v>
      </c>
      <c r="N111" s="1" t="s">
        <v>738</v>
      </c>
      <c r="O111" s="1" t="s">
        <v>739</v>
      </c>
      <c r="P111" s="1" t="s">
        <v>740</v>
      </c>
      <c r="Q111" s="1" t="s">
        <v>741</v>
      </c>
      <c r="S111" s="25"/>
    </row>
    <row r="112" spans="9:19">
      <c r="I112" s="310" t="s">
        <v>742</v>
      </c>
      <c r="J112" s="1" t="s">
        <v>743</v>
      </c>
      <c r="K112" s="310" t="s">
        <v>744</v>
      </c>
      <c r="L112" s="1" t="s">
        <v>745</v>
      </c>
      <c r="M112" s="1" t="s">
        <v>746</v>
      </c>
      <c r="N112" s="1" t="s">
        <v>747</v>
      </c>
      <c r="O112" s="1" t="s">
        <v>748</v>
      </c>
      <c r="P112" s="1" t="s">
        <v>749</v>
      </c>
      <c r="Q112" s="1" t="s">
        <v>750</v>
      </c>
      <c r="R112" s="1" t="s">
        <v>751</v>
      </c>
      <c r="S112" s="25"/>
    </row>
    <row r="113" spans="9:19">
      <c r="I113" s="310" t="s">
        <v>752</v>
      </c>
      <c r="J113" s="1" t="s">
        <v>753</v>
      </c>
      <c r="K113" s="310" t="s">
        <v>754</v>
      </c>
      <c r="L113" s="1" t="s">
        <v>755</v>
      </c>
      <c r="M113" s="1" t="s">
        <v>756</v>
      </c>
      <c r="N113" s="1" t="s">
        <v>757</v>
      </c>
      <c r="O113" s="1" t="s">
        <v>758</v>
      </c>
      <c r="P113" s="1" t="s">
        <v>759</v>
      </c>
      <c r="Q113" s="1" t="s">
        <v>760</v>
      </c>
      <c r="R113" s="1" t="s">
        <v>761</v>
      </c>
      <c r="S113" s="25" t="s">
        <v>762</v>
      </c>
    </row>
    <row r="114" spans="9:19">
      <c r="I114" s="310" t="s">
        <v>763</v>
      </c>
      <c r="J114" s="1" t="s">
        <v>764</v>
      </c>
      <c r="K114" s="310" t="s">
        <v>765</v>
      </c>
      <c r="L114" s="1" t="s">
        <v>766</v>
      </c>
      <c r="M114" s="1" t="s">
        <v>767</v>
      </c>
      <c r="N114" s="1" t="s">
        <v>768</v>
      </c>
      <c r="O114" s="1" t="s">
        <v>769</v>
      </c>
      <c r="P114" s="1" t="s">
        <v>770</v>
      </c>
      <c r="Q114" s="1" t="s">
        <v>771</v>
      </c>
      <c r="R114" s="1" t="s">
        <v>772</v>
      </c>
      <c r="S114" s="25" t="s">
        <v>773</v>
      </c>
    </row>
    <row r="115" spans="9:19">
      <c r="I115" s="310" t="s">
        <v>774</v>
      </c>
      <c r="J115" s="1" t="s">
        <v>775</v>
      </c>
      <c r="K115" s="310" t="s">
        <v>776</v>
      </c>
      <c r="L115" s="1" t="s">
        <v>777</v>
      </c>
      <c r="M115" s="1" t="s">
        <v>778</v>
      </c>
      <c r="N115" s="1" t="s">
        <v>779</v>
      </c>
      <c r="O115" s="1" t="s">
        <v>780</v>
      </c>
      <c r="S115" s="25"/>
    </row>
    <row r="116" spans="9:19">
      <c r="I116" s="310" t="s">
        <v>781</v>
      </c>
      <c r="J116" s="1" t="s">
        <v>782</v>
      </c>
      <c r="K116" s="310" t="s">
        <v>783</v>
      </c>
      <c r="L116" s="1" t="s">
        <v>784</v>
      </c>
      <c r="M116" s="1" t="s">
        <v>785</v>
      </c>
      <c r="N116" s="1" t="s">
        <v>786</v>
      </c>
      <c r="O116" s="1" t="s">
        <v>787</v>
      </c>
      <c r="P116" s="1" t="s">
        <v>788</v>
      </c>
      <c r="Q116" s="1" t="s">
        <v>789</v>
      </c>
      <c r="R116" s="1" t="s">
        <v>790</v>
      </c>
      <c r="S116" s="25"/>
    </row>
    <row r="117" spans="9:19">
      <c r="I117" s="310" t="s">
        <v>791</v>
      </c>
      <c r="J117" s="1" t="s">
        <v>792</v>
      </c>
      <c r="K117" s="310" t="s">
        <v>793</v>
      </c>
      <c r="L117" s="1" t="s">
        <v>794</v>
      </c>
      <c r="M117" s="1" t="s">
        <v>795</v>
      </c>
      <c r="N117" s="1" t="s">
        <v>796</v>
      </c>
      <c r="O117" s="1" t="s">
        <v>797</v>
      </c>
      <c r="P117" s="1" t="s">
        <v>798</v>
      </c>
      <c r="Q117" s="1" t="s">
        <v>799</v>
      </c>
      <c r="R117" s="1" t="s">
        <v>800</v>
      </c>
      <c r="S117" s="25" t="s">
        <v>801</v>
      </c>
    </row>
    <row r="118" spans="9:19">
      <c r="I118" s="310" t="s">
        <v>802</v>
      </c>
      <c r="J118" s="1" t="s">
        <v>803</v>
      </c>
      <c r="K118" s="310" t="s">
        <v>804</v>
      </c>
      <c r="L118" s="1" t="s">
        <v>805</v>
      </c>
      <c r="M118" s="1" t="s">
        <v>806</v>
      </c>
      <c r="N118" s="1" t="s">
        <v>807</v>
      </c>
      <c r="O118" s="1" t="s">
        <v>808</v>
      </c>
      <c r="P118" s="1" t="s">
        <v>809</v>
      </c>
      <c r="Q118" s="1" t="s">
        <v>810</v>
      </c>
      <c r="R118" s="1" t="s">
        <v>811</v>
      </c>
      <c r="S118" s="25" t="s">
        <v>812</v>
      </c>
    </row>
    <row r="119" spans="9:19">
      <c r="I119" s="310" t="s">
        <v>813</v>
      </c>
      <c r="J119" s="1" t="s">
        <v>814</v>
      </c>
      <c r="K119" s="310" t="s">
        <v>815</v>
      </c>
      <c r="L119" s="1" t="s">
        <v>816</v>
      </c>
      <c r="M119" s="1" t="s">
        <v>817</v>
      </c>
      <c r="N119" s="1" t="s">
        <v>818</v>
      </c>
      <c r="O119" s="1" t="s">
        <v>819</v>
      </c>
      <c r="P119" s="1" t="s">
        <v>820</v>
      </c>
      <c r="Q119" s="1" t="s">
        <v>821</v>
      </c>
    </row>
    <row r="120" spans="9:19">
      <c r="I120" s="310"/>
      <c r="K120" s="310"/>
    </row>
    <row r="121" spans="9:19">
      <c r="I121" s="310" t="str">
        <f>_xlfn.CONCAT(I83,$J$82,I102)</f>
        <v>小区分60010_情報学基礎論関連_Fundamentals_of_Informatics</v>
      </c>
      <c r="J121" s="310" t="str">
        <f t="shared" ref="J121:S136" si="0">_xlfn.CONCAT(J83,$I$82,J102)</f>
        <v>離散構造/Discrete Structure</v>
      </c>
      <c r="K121" s="310" t="str">
        <f t="shared" si="0"/>
        <v>数理論理学/Mathematical Logic</v>
      </c>
      <c r="L121" s="310" t="str">
        <f t="shared" si="0"/>
        <v>計算理論/Computational Theory</v>
      </c>
      <c r="M121" s="310" t="str">
        <f t="shared" si="0"/>
        <v>プログラム理論/Program Theory</v>
      </c>
      <c r="N121" s="310" t="str">
        <f t="shared" si="0"/>
        <v>計算量理論/Computation quantity Theory</v>
      </c>
      <c r="O121" s="310" t="str">
        <f t="shared" si="0"/>
        <v>アルゴリズム理論/Algorithm Theory</v>
      </c>
      <c r="P121" s="310" t="str">
        <f t="shared" si="0"/>
        <v>情報理論/Information Theory</v>
      </c>
      <c r="Q121" s="310" t="str">
        <f t="shared" si="0"/>
        <v>符号理論/Sign Theory</v>
      </c>
      <c r="R121" s="310" t="str">
        <f t="shared" si="0"/>
        <v>暗号理論/Cryptology</v>
      </c>
      <c r="S121" s="310" t="str">
        <f t="shared" si="0"/>
        <v>学習理論/Learning Theory</v>
      </c>
    </row>
    <row r="122" spans="9:19">
      <c r="I122" s="310" t="str">
        <f t="shared" ref="I122:I138" si="1">_xlfn.CONCAT(I84,$J$82,I103)</f>
        <v>小区分60020_数理情報学関連_Mathematical_Informatics</v>
      </c>
      <c r="J122" s="310" t="str">
        <f t="shared" si="0"/>
        <v>最適化理論/Optimization Theory</v>
      </c>
      <c r="K122" s="310" t="str">
        <f t="shared" si="0"/>
        <v>数理システム理論/Mathematical Systems Theory</v>
      </c>
      <c r="L122" s="310" t="str">
        <f t="shared" si="0"/>
        <v>システム制御理論/System Control Theory</v>
      </c>
      <c r="M122" s="310" t="str">
        <f t="shared" si="0"/>
        <v>システム分析/Systems Analysis</v>
      </c>
      <c r="N122" s="310" t="str">
        <f t="shared" si="0"/>
        <v>システム方法論/Systems Methodology</v>
      </c>
      <c r="O122" s="310" t="str">
        <f t="shared" si="0"/>
        <v>システムモデリング/Systems Modeling</v>
      </c>
      <c r="P122" s="310" t="str">
        <f t="shared" si="0"/>
        <v>システムシミュレーション/System Simulation</v>
      </c>
      <c r="Q122" s="310" t="str">
        <f t="shared" si="0"/>
        <v>組合せ最適化/Combinatorial Optimization</v>
      </c>
      <c r="R122" s="310" t="str">
        <f t="shared" si="0"/>
        <v>待ち行列論/Queueing Theory</v>
      </c>
      <c r="S122" s="310" t="str">
        <f t="shared" si="0"/>
        <v>数理ファイナンス/Mathematical Finance</v>
      </c>
    </row>
    <row r="123" spans="9:19">
      <c r="I123" s="310" t="str">
        <f t="shared" si="1"/>
        <v>小区分60030_統計科学関連_Statistical_Science</v>
      </c>
      <c r="J123" s="310" t="str">
        <f t="shared" si="0"/>
        <v>統計学/Statistics</v>
      </c>
      <c r="K123" s="310" t="str">
        <f t="shared" si="0"/>
        <v>データサイエンス/Data Science</v>
      </c>
      <c r="L123" s="310" t="str">
        <f t="shared" si="0"/>
        <v>モデル化/Modeling</v>
      </c>
      <c r="M123" s="310" t="str">
        <f t="shared" si="0"/>
        <v>統計的推測/Statistical Inference</v>
      </c>
      <c r="N123" s="310" t="str">
        <f t="shared" si="0"/>
        <v>多変量解析/Multivariate Analysis</v>
      </c>
      <c r="O123" s="310" t="str">
        <f t="shared" si="0"/>
        <v>時系列解析/Time Series Analysis</v>
      </c>
      <c r="P123" s="310" t="str">
        <f t="shared" si="0"/>
        <v>統計的品質管理/Statistical Quality Control</v>
      </c>
      <c r="Q123" s="310" t="str">
        <f t="shared" si="0"/>
        <v>応用統計学/Applied Statistics</v>
      </c>
      <c r="R123" s="310"/>
      <c r="S123" s="310"/>
    </row>
    <row r="124" spans="9:19">
      <c r="I124" s="310" t="str">
        <f t="shared" si="1"/>
        <v>小区分60040_計算機システム関連_Computer_Systems</v>
      </c>
      <c r="J124" s="310" t="str">
        <f t="shared" si="0"/>
        <v>計算機アーキテクチャ/Computer Architecture</v>
      </c>
      <c r="K124" s="310" t="str">
        <f t="shared" si="0"/>
        <v>回路とシステム/Circuits and Systems</v>
      </c>
      <c r="L124" s="310" t="str">
        <f t="shared" si="0"/>
        <v>ＬＳＩ設計/LSI Design</v>
      </c>
      <c r="M124" s="310" t="str">
        <f t="shared" si="0"/>
        <v>ＬＳＩテスト/LSI Testing</v>
      </c>
      <c r="N124" s="310" t="str">
        <f t="shared" si="0"/>
        <v>リコンフィギャラブルシステム/Reconfigurable Systems</v>
      </c>
      <c r="O124" s="310" t="str">
        <f t="shared" si="0"/>
        <v>ディペンダブルアーキテクチャ/Dependable Architecture</v>
      </c>
      <c r="P124" s="310" t="str">
        <f t="shared" si="0"/>
        <v>低消費電力技術/Low Power Technology</v>
      </c>
      <c r="Q124" s="310" t="str">
        <f t="shared" si="0"/>
        <v>ハードウェア・ソフトウェア協調設計/Hardware/Software Co-Design</v>
      </c>
      <c r="R124" s="310" t="str">
        <f t="shared" si="0"/>
        <v>組込みシステム/Embedded Systems</v>
      </c>
      <c r="S124" s="310"/>
    </row>
    <row r="125" spans="9:19">
      <c r="I125" s="310" t="str">
        <f t="shared" si="1"/>
        <v>小区分60050_ソフトウェア関連_Software</v>
      </c>
      <c r="J125" s="310" t="str">
        <f t="shared" si="0"/>
        <v>プログラミング言語/Programming Languages</v>
      </c>
      <c r="K125" s="310" t="str">
        <f t="shared" si="0"/>
        <v>プログラミング方法論/Programming Methodology</v>
      </c>
      <c r="L125" s="310" t="str">
        <f t="shared" si="0"/>
        <v>オペレーティングシステム/Operating Systems</v>
      </c>
      <c r="M125" s="310" t="str">
        <f t="shared" si="0"/>
        <v>並列分散処理/Parallel and Distributed Processing</v>
      </c>
      <c r="N125" s="310" t="str">
        <f t="shared" si="0"/>
        <v>ソフトウェア工学/Software Engineering</v>
      </c>
      <c r="O125" s="310" t="str">
        <f t="shared" si="0"/>
        <v>仮想化技術/Virtualization technology</v>
      </c>
      <c r="P125" s="310" t="str">
        <f t="shared" si="0"/>
        <v>クラウドコンピューティング/Cloud Computing</v>
      </c>
      <c r="Q125" s="310" t="str">
        <f t="shared" si="0"/>
        <v>ソフトウェアディペンダビリティ/Software Dependability</v>
      </c>
      <c r="R125" s="310" t="str">
        <f t="shared" si="0"/>
        <v>ソフトウェアセキュリティ/Software Security</v>
      </c>
      <c r="S125" s="310"/>
    </row>
    <row r="126" spans="9:19">
      <c r="I126" s="310" t="str">
        <f t="shared" si="1"/>
        <v>小区分60060_情報ネットワーク関連_Information_Networking</v>
      </c>
      <c r="J126" s="310" t="str">
        <f t="shared" si="0"/>
        <v>ネットワークアーキテクチャ/Network Architecture</v>
      </c>
      <c r="K126" s="310" t="str">
        <f t="shared" si="0"/>
        <v>ネットワークプロトコル/Network Protocols</v>
      </c>
      <c r="L126" s="310" t="str">
        <f t="shared" si="0"/>
        <v>インターネット/Internet</v>
      </c>
      <c r="M126" s="310" t="str">
        <f t="shared" si="0"/>
        <v>モバイルネットワーク/Mobile Networking</v>
      </c>
      <c r="N126" s="310" t="str">
        <f t="shared" si="0"/>
        <v>パーベイシブコンピューティング/Pervasive Computing</v>
      </c>
      <c r="O126" s="310" t="str">
        <f t="shared" si="0"/>
        <v>センサーネットワーク/Sensor Networks</v>
      </c>
      <c r="P126" s="310" t="str">
        <f t="shared" si="0"/>
        <v>ＩｏＴ/IoT</v>
      </c>
      <c r="Q126" s="310" t="str">
        <f t="shared" si="0"/>
        <v>トラフィックエンジニアリング/Traffic Engineering</v>
      </c>
      <c r="R126" s="310" t="str">
        <f t="shared" si="0"/>
        <v>ネットワーク管理/Network Management</v>
      </c>
      <c r="S126" s="310" t="str">
        <f t="shared" si="0"/>
        <v>サービス構築基盤技術/Service Construction Infrastructure Technology</v>
      </c>
    </row>
    <row r="127" spans="9:19">
      <c r="I127" s="310" t="str">
        <f t="shared" si="1"/>
        <v>小区分60070_情報セキュリティ関連_Information_Security</v>
      </c>
      <c r="J127" s="310" t="str">
        <f t="shared" si="0"/>
        <v>暗号/Cryptography</v>
      </c>
      <c r="K127" s="310" t="str">
        <f t="shared" si="0"/>
        <v>耐タンパー技術/Tamper-resistant technology</v>
      </c>
      <c r="L127" s="310" t="str">
        <f t="shared" si="0"/>
        <v>認証/Authentication</v>
      </c>
      <c r="M127" s="310" t="str">
        <f t="shared" si="0"/>
        <v>バイオメトリクス/Biometrics</v>
      </c>
      <c r="N127" s="310" t="str">
        <f t="shared" si="0"/>
        <v>アクセス制御/Access Control</v>
      </c>
      <c r="O127" s="310" t="str">
        <f t="shared" si="0"/>
        <v>マルウェア対策/Anti-malware</v>
      </c>
      <c r="P127" s="310" t="str">
        <f t="shared" si="0"/>
        <v>サイバー攻撃対策/Cyber Attack Prevention</v>
      </c>
      <c r="Q127" s="310" t="str">
        <f t="shared" si="0"/>
        <v>プライバシー保護/Privacy Protection</v>
      </c>
      <c r="R127" s="310" t="str">
        <f t="shared" si="0"/>
        <v>ディジタルフォレンジクス/Digital forensics</v>
      </c>
      <c r="S127" s="310" t="str">
        <f t="shared" si="0"/>
        <v>セキュリティ評価認証/Security Evaluation and Certification</v>
      </c>
    </row>
    <row r="128" spans="9:19">
      <c r="I128" s="310" t="str">
        <f t="shared" si="1"/>
        <v>小区分60080_データベース関連_Database</v>
      </c>
      <c r="J128" s="310" t="str">
        <f t="shared" si="0"/>
        <v>データモデル/Data Models</v>
      </c>
      <c r="K128" s="310" t="str">
        <f t="shared" si="0"/>
        <v>データベースシステム/Database Systems</v>
      </c>
      <c r="L128" s="310" t="str">
        <f t="shared" si="0"/>
        <v>マルチメディアデータベース/Multimedia Database</v>
      </c>
      <c r="M128" s="310" t="str">
        <f t="shared" si="0"/>
        <v>情報検索/Information Retrieval</v>
      </c>
      <c r="N128" s="310" t="str">
        <f t="shared" si="0"/>
        <v>コンテンツ管理/Content Management</v>
      </c>
      <c r="O128" s="310" t="str">
        <f t="shared" si="0"/>
        <v>メタデータ/Metadata</v>
      </c>
      <c r="P128" s="310" t="str">
        <f t="shared" si="0"/>
        <v>ビッグデータ/Big Data</v>
      </c>
      <c r="Q128" s="310" t="str">
        <f t="shared" si="0"/>
        <v>地理情報システム/Geographic Information Systems</v>
      </c>
      <c r="R128" s="310"/>
      <c r="S128" s="310"/>
    </row>
    <row r="129" spans="9:19">
      <c r="I129" s="310" t="str">
        <f t="shared" si="1"/>
        <v>小区分60090_高性能計算関連_High_Performance_Computing</v>
      </c>
      <c r="J129" s="310" t="str">
        <f t="shared" si="0"/>
        <v>並列処理/Parallel Processing</v>
      </c>
      <c r="K129" s="310" t="str">
        <f t="shared" si="0"/>
        <v>分散処理/Distributed Processing</v>
      </c>
      <c r="L129" s="310" t="str">
        <f t="shared" si="0"/>
        <v>クラウドコンピューティング/Cloud computing</v>
      </c>
      <c r="M129" s="310" t="str">
        <f t="shared" si="0"/>
        <v>数値解析/Numerical Analysis</v>
      </c>
      <c r="N129" s="310" t="str">
        <f t="shared" si="0"/>
        <v>可視化/Visualization</v>
      </c>
      <c r="O129" s="310" t="str">
        <f t="shared" si="0"/>
        <v>コンピュータグラフィクス/Computer Graphics</v>
      </c>
      <c r="P129" s="310" t="str">
        <f t="shared" si="0"/>
        <v>高性能計算アプリケーション/High-performance computing applications</v>
      </c>
      <c r="Q129" s="310"/>
      <c r="R129" s="310"/>
      <c r="S129" s="310"/>
    </row>
    <row r="130" spans="9:19">
      <c r="I130" s="310" t="str">
        <f t="shared" si="1"/>
        <v>小区分60100_計算科学関連_Computational_Science</v>
      </c>
      <c r="J130" s="310" t="str">
        <f t="shared" si="0"/>
        <v>数理工学/Mathematical Engineering</v>
      </c>
      <c r="K130" s="310" t="str">
        <f t="shared" si="0"/>
        <v>計算力学/Computational Mechanics</v>
      </c>
      <c r="L130" s="310" t="str">
        <f t="shared" si="0"/>
        <v>数値シミュレーション/Numerical simulation</v>
      </c>
      <c r="M130" s="310" t="str">
        <f t="shared" si="0"/>
        <v>マルチスケール/Multiscale</v>
      </c>
      <c r="N130" s="310" t="str">
        <f t="shared" si="0"/>
        <v>大規模計算/Large-Scale Computing</v>
      </c>
      <c r="O130" s="310" t="str">
        <f t="shared" si="0"/>
        <v>超並列計算/Massively Parallel Computing</v>
      </c>
      <c r="P130" s="310" t="str">
        <f t="shared" si="0"/>
        <v>数値計算手法/Numerical Methods</v>
      </c>
      <c r="Q130" s="310" t="str">
        <f t="shared" si="0"/>
        <v>先進アルゴリズム/Advanced Algorithms</v>
      </c>
      <c r="R130" s="310"/>
      <c r="S130" s="310"/>
    </row>
    <row r="131" spans="9:19">
      <c r="I131" s="310" t="str">
        <f t="shared" si="1"/>
        <v>小区分61010_知覚情報処理関連_Perceptual_Information_Processing</v>
      </c>
      <c r="J131" s="310" t="str">
        <f t="shared" si="0"/>
        <v>パターン認識/Pattern Recognition</v>
      </c>
      <c r="K131" s="310" t="str">
        <f t="shared" si="0"/>
        <v>画像処理/Image Processing</v>
      </c>
      <c r="L131" s="310" t="str">
        <f t="shared" si="0"/>
        <v>コンピュータビジョン/Computer Vision</v>
      </c>
      <c r="M131" s="310" t="str">
        <f t="shared" si="0"/>
        <v>視覚メディア処理/Visual Media Processing</v>
      </c>
      <c r="N131" s="310" t="str">
        <f t="shared" si="0"/>
        <v>音メディア処理/Acoustic Media Processing</v>
      </c>
      <c r="O131" s="310" t="str">
        <f t="shared" si="0"/>
        <v>メディア編集/Media Editing</v>
      </c>
      <c r="P131" s="310" t="str">
        <f t="shared" si="0"/>
        <v>メディアデータベース/Media Databases</v>
      </c>
      <c r="Q131" s="310" t="str">
        <f t="shared" si="0"/>
        <v>センシング/Sensing</v>
      </c>
      <c r="R131" s="310" t="str">
        <f t="shared" si="0"/>
        <v>センサ融合/Sensor Fusion</v>
      </c>
      <c r="S131" s="310"/>
    </row>
    <row r="132" spans="9:19">
      <c r="I132" s="310" t="str">
        <f t="shared" si="1"/>
        <v>小区分61020_ヒューマンインタフェースおよびインタラクション関連_Human_Interface_and_Interaction</v>
      </c>
      <c r="J132" s="310" t="str">
        <f t="shared" si="0"/>
        <v>ヒューマンインタフェース/Human Interface</v>
      </c>
      <c r="K132" s="310" t="str">
        <f t="shared" si="0"/>
        <v>マルチモーダルインタフェース/Multimodal Interfaces</v>
      </c>
      <c r="L132" s="310" t="str">
        <f t="shared" si="0"/>
        <v>ヒューマンコンピュータインタラクション/Human-computer interaction</v>
      </c>
      <c r="M132" s="310" t="str">
        <f t="shared" si="0"/>
        <v>協同作業環境/Collaborative Environments</v>
      </c>
      <c r="N132" s="310" t="str">
        <f t="shared" si="0"/>
        <v>バーチャルリアリティ/Virtual Reality</v>
      </c>
      <c r="O132" s="310" t="str">
        <f t="shared" si="0"/>
        <v>拡張現実/Augmented Reality</v>
      </c>
      <c r="P132" s="310" t="str">
        <f t="shared" si="0"/>
        <v>臨場感コミュニケーション/Realistic Communication</v>
      </c>
      <c r="Q132" s="310" t="str">
        <f t="shared" si="0"/>
        <v>ウェアラブル機器/Wearable Devices</v>
      </c>
      <c r="R132" s="310" t="str">
        <f t="shared" si="0"/>
        <v>ユーザビリティ/Usability</v>
      </c>
      <c r="S132" s="310" t="str">
        <f t="shared" si="0"/>
        <v>人間工学/Ergonomics</v>
      </c>
    </row>
    <row r="133" spans="9:19">
      <c r="I133" s="310" t="str">
        <f t="shared" si="1"/>
        <v>小区分61030_知能情報学関連_Intelligent_Informatics</v>
      </c>
      <c r="J133" s="310" t="str">
        <f t="shared" si="0"/>
        <v>探索/Search</v>
      </c>
      <c r="K133" s="310" t="str">
        <f t="shared" si="0"/>
        <v>推論/Reasoning</v>
      </c>
      <c r="L133" s="310" t="str">
        <f t="shared" si="0"/>
        <v>機械学習/Machine Learning</v>
      </c>
      <c r="M133" s="310" t="str">
        <f t="shared" si="0"/>
        <v>知識獲得/Knowledge Acquisition</v>
      </c>
      <c r="N133" s="310" t="str">
        <f t="shared" si="0"/>
        <v>知的システム/Intelligent Systems</v>
      </c>
      <c r="O133" s="310" t="str">
        <f t="shared" si="0"/>
        <v>知能情報処理/Intelligent information processing</v>
      </c>
      <c r="P133" s="310" t="str">
        <f t="shared" si="0"/>
        <v>自然言語処理/Natural Language Processing</v>
      </c>
      <c r="Q133" s="310" t="str">
        <f t="shared" si="0"/>
        <v>データマイニング/Data Mining</v>
      </c>
      <c r="R133" s="310" t="str">
        <f t="shared" si="0"/>
        <v>オントロジー/Ontology</v>
      </c>
      <c r="S133" s="310" t="str">
        <f t="shared" si="0"/>
        <v>エージェントシステム/Agent Systems</v>
      </c>
    </row>
    <row r="134" spans="9:19">
      <c r="I134" s="310" t="str">
        <f t="shared" si="1"/>
        <v>小区分61040_ソフトコンピューティング関連_Soft_Computing</v>
      </c>
      <c r="J134" s="310" t="str">
        <f t="shared" si="0"/>
        <v>ニューラルネットワーク/Neural Networks</v>
      </c>
      <c r="K134" s="310" t="str">
        <f t="shared" si="0"/>
        <v>進化計算/Evolutionary Computation</v>
      </c>
      <c r="L134" s="310" t="str">
        <f t="shared" si="0"/>
        <v>ファジィ理論/Fuzzy Theory</v>
      </c>
      <c r="M134" s="310" t="str">
        <f t="shared" si="0"/>
        <v>カオス/Chaos</v>
      </c>
      <c r="N134" s="310" t="str">
        <f t="shared" si="0"/>
        <v>複雑系/Complex Systems</v>
      </c>
      <c r="O134" s="310" t="str">
        <f t="shared" si="0"/>
        <v>確率的情報処理/Probabilistic Information Processing</v>
      </c>
      <c r="P134" s="310"/>
      <c r="Q134" s="310"/>
      <c r="R134" s="310"/>
      <c r="S134" s="310"/>
    </row>
    <row r="135" spans="9:19">
      <c r="I135" s="310" t="str">
        <f t="shared" si="1"/>
        <v>小区分61050_知能ロボティクス関連_Intelligent_Robotics</v>
      </c>
      <c r="J135" s="310" t="str">
        <f t="shared" si="0"/>
        <v>知能ロボット/Intelligent Robotics</v>
      </c>
      <c r="K135" s="310" t="str">
        <f t="shared" si="0"/>
        <v>行動環境認識/Behavioral Environment Recognition</v>
      </c>
      <c r="L135" s="310" t="str">
        <f t="shared" si="0"/>
        <v>プランニング/Planning</v>
      </c>
      <c r="M135" s="310" t="str">
        <f t="shared" si="0"/>
        <v>感覚行動システム/Sensory-Behavioral Systems</v>
      </c>
      <c r="N135" s="310" t="str">
        <f t="shared" si="0"/>
        <v>自律システム/Autonomous Systems</v>
      </c>
      <c r="O135" s="310" t="str">
        <f t="shared" si="0"/>
        <v>ディジタルヒューマン/Digital Human</v>
      </c>
      <c r="P135" s="310" t="str">
        <f t="shared" si="0"/>
        <v>実世界情報処理/Real-world information processing</v>
      </c>
      <c r="Q135" s="310" t="str">
        <f t="shared" si="0"/>
        <v>物理エージェント/Physical Agents</v>
      </c>
      <c r="R135" s="310" t="str">
        <f t="shared" si="0"/>
        <v>知能化空間/Intelligent Spaces</v>
      </c>
      <c r="S135" s="310"/>
    </row>
    <row r="136" spans="9:19">
      <c r="I136" s="310" t="str">
        <f t="shared" si="1"/>
        <v>小区分61060_感性情報学関連_Sensory_Informatics</v>
      </c>
      <c r="J136" s="310" t="str">
        <f t="shared" si="0"/>
        <v>感性デザイン学/Sensory Design Studies</v>
      </c>
      <c r="K136" s="310" t="str">
        <f t="shared" si="0"/>
        <v>感性認知科学/Sensory and Cognitive Science</v>
      </c>
      <c r="L136" s="310" t="str">
        <f t="shared" si="0"/>
        <v>感性心理学/Psychology of Sensitivity</v>
      </c>
      <c r="M136" s="310" t="str">
        <f t="shared" si="0"/>
        <v>感性ロボティクス/Sensory Robotics</v>
      </c>
      <c r="N136" s="310" t="str">
        <f t="shared" si="0"/>
        <v>感性計測評価/Sensory Measurement and Evaluation</v>
      </c>
      <c r="O136" s="310" t="str">
        <f t="shared" si="0"/>
        <v>感性インタフェース/Sensory Interface</v>
      </c>
      <c r="P136" s="310" t="str">
        <f t="shared" si="0"/>
        <v>感性生理学/Sensory Physiology</v>
      </c>
      <c r="Q136" s="310" t="str">
        <f t="shared" si="0"/>
        <v>感性材料科学/Sensory Materials Science</v>
      </c>
      <c r="R136" s="310" t="str">
        <f t="shared" si="0"/>
        <v>感性教育学/Sensory Pedagogy</v>
      </c>
      <c r="S136" s="310" t="str">
        <f t="shared" si="0"/>
        <v>感性脳科学/Sensory Brain Science</v>
      </c>
    </row>
    <row r="137" spans="9:19">
      <c r="I137" s="310" t="str">
        <f t="shared" si="1"/>
        <v>小区分90010_デザイン学関連_Design_Science</v>
      </c>
      <c r="J137" s="310" t="str">
        <f t="shared" ref="J137:S138" si="2">_xlfn.CONCAT(J99,$I$82,J118)</f>
        <v>情報デザイン/Information Design</v>
      </c>
      <c r="K137" s="310" t="str">
        <f t="shared" si="2"/>
        <v>環境デザイン/Environmental Design</v>
      </c>
      <c r="L137" s="310" t="str">
        <f t="shared" si="2"/>
        <v>工業デザイン/Industrial Design</v>
      </c>
      <c r="M137" s="310" t="str">
        <f t="shared" si="2"/>
        <v>空間デザイン/Spatial Design</v>
      </c>
      <c r="N137" s="310" t="str">
        <f t="shared" si="2"/>
        <v>デザイン史/Design History</v>
      </c>
      <c r="O137" s="310" t="str">
        <f t="shared" si="2"/>
        <v>デザイン論/Design Theory</v>
      </c>
      <c r="P137" s="310" t="str">
        <f t="shared" si="2"/>
        <v>デザイン規格/Design Standards</v>
      </c>
      <c r="Q137" s="310" t="str">
        <f t="shared" si="2"/>
        <v>デザイン支援/Design Support</v>
      </c>
      <c r="R137" s="310" t="str">
        <f t="shared" si="2"/>
        <v>デザイン評価/Design Evaluation</v>
      </c>
      <c r="S137" s="310" t="str">
        <f t="shared" si="2"/>
        <v>デザイン教育/Design Education</v>
      </c>
    </row>
    <row r="138" spans="9:19">
      <c r="I138" s="310" t="str">
        <f t="shared" si="1"/>
        <v>小区分90030_認知科学関連_Cognitive_Science</v>
      </c>
      <c r="J138" s="310" t="str">
        <f t="shared" si="2"/>
        <v>認知科学一般/Cognitive Science</v>
      </c>
      <c r="K138" s="310" t="str">
        <f t="shared" si="2"/>
        <v>認知モデル/Cognitive Modeling</v>
      </c>
      <c r="L138" s="310" t="str">
        <f t="shared" si="2"/>
        <v>感性/Sensitivity</v>
      </c>
      <c r="M138" s="310" t="str">
        <f t="shared" si="2"/>
        <v>ヒューマンファクターズ/Human Factors</v>
      </c>
      <c r="N138" s="310" t="str">
        <f t="shared" si="2"/>
        <v>認知脳科学/Cognitive Brain Science</v>
      </c>
      <c r="O138" s="310" t="str">
        <f t="shared" si="2"/>
        <v>比較認知/Comparative cognition</v>
      </c>
      <c r="P138" s="310" t="str">
        <f t="shared" si="2"/>
        <v>認知言語学/Cognitive Linguistics</v>
      </c>
      <c r="Q138" s="310" t="str">
        <f t="shared" si="2"/>
        <v>認知工学/Cognitive Engineering</v>
      </c>
      <c r="R138" s="310"/>
      <c r="S138" s="310"/>
    </row>
    <row r="139" spans="9:19">
      <c r="I139" s="310"/>
      <c r="K139" s="310"/>
    </row>
    <row r="140" spans="9:19">
      <c r="I140" s="310"/>
      <c r="K140" s="310"/>
    </row>
    <row r="141" spans="9:19">
      <c r="I141" s="310"/>
      <c r="K141" s="310"/>
    </row>
    <row r="142" spans="9:19">
      <c r="I142" s="310"/>
      <c r="K142" s="310"/>
    </row>
    <row r="143" spans="9:19">
      <c r="I143" s="310"/>
      <c r="K143" s="310"/>
    </row>
    <row r="144" spans="9:19">
      <c r="I144" s="310"/>
      <c r="K144" s="310"/>
    </row>
    <row r="145" spans="9:11">
      <c r="I145" s="310"/>
      <c r="K145" s="310"/>
    </row>
    <row r="146" spans="9:11">
      <c r="I146" s="310"/>
      <c r="K146" s="310"/>
    </row>
    <row r="147" spans="9:11">
      <c r="I147" s="310"/>
      <c r="K147" s="310"/>
    </row>
    <row r="148" spans="9:11">
      <c r="I148" s="310"/>
      <c r="K148" s="310"/>
    </row>
    <row r="149" spans="9:11">
      <c r="I149" s="310"/>
      <c r="K149" s="310"/>
    </row>
    <row r="150" spans="9:11">
      <c r="I150" s="310"/>
      <c r="K150" s="310"/>
    </row>
    <row r="151" spans="9:11">
      <c r="I151" s="310"/>
      <c r="K151" s="310"/>
    </row>
    <row r="152" spans="9:11">
      <c r="I152" s="310"/>
      <c r="K152" s="310"/>
    </row>
    <row r="153" spans="9:11">
      <c r="I153" s="310"/>
      <c r="K153" s="310"/>
    </row>
    <row r="154" spans="9:11">
      <c r="I154" s="310"/>
      <c r="K154" s="310"/>
    </row>
    <row r="155" spans="9:11">
      <c r="I155" s="310"/>
      <c r="K155" s="310"/>
    </row>
    <row r="156" spans="9:11">
      <c r="I156" s="310"/>
      <c r="K156" s="310"/>
    </row>
    <row r="157" spans="9:11">
      <c r="I157" s="310"/>
      <c r="K157" s="310"/>
    </row>
    <row r="158" spans="9:11">
      <c r="I158" s="310"/>
      <c r="K158" s="310"/>
    </row>
    <row r="159" spans="9:11">
      <c r="I159" s="310"/>
      <c r="K159" s="310"/>
    </row>
    <row r="160" spans="9:11">
      <c r="I160" s="310"/>
      <c r="K160" s="310"/>
    </row>
    <row r="161" spans="9:11">
      <c r="I161" s="310"/>
      <c r="K161" s="310"/>
    </row>
    <row r="162" spans="9:11">
      <c r="I162" s="310"/>
      <c r="K162" s="310"/>
    </row>
    <row r="163" spans="9:11">
      <c r="I163" s="310"/>
      <c r="K163" s="310"/>
    </row>
    <row r="164" spans="9:11">
      <c r="I164" s="310"/>
      <c r="K164" s="310"/>
    </row>
    <row r="165" spans="9:11">
      <c r="I165" s="310"/>
      <c r="K165" s="310"/>
    </row>
    <row r="166" spans="9:11">
      <c r="I166" s="310"/>
      <c r="K166" s="310"/>
    </row>
    <row r="167" spans="9:11">
      <c r="I167" s="310"/>
      <c r="K167" s="310"/>
    </row>
    <row r="168" spans="9:11">
      <c r="I168" s="310"/>
      <c r="K168" s="310"/>
    </row>
    <row r="169" spans="9:11">
      <c r="I169" s="310"/>
      <c r="K169" s="310"/>
    </row>
    <row r="170" spans="9:11">
      <c r="I170" s="310"/>
      <c r="K170" s="310"/>
    </row>
    <row r="171" spans="9:11">
      <c r="I171" s="310"/>
      <c r="K171" s="310"/>
    </row>
    <row r="172" spans="9:11">
      <c r="I172" s="310"/>
      <c r="K172" s="310"/>
    </row>
    <row r="173" spans="9:11">
      <c r="I173" s="310"/>
      <c r="K173" s="310"/>
    </row>
    <row r="174" spans="9:11">
      <c r="I174" s="310"/>
      <c r="K174" s="310"/>
    </row>
    <row r="175" spans="9:11">
      <c r="I175" s="310"/>
      <c r="K175" s="310"/>
    </row>
    <row r="176" spans="9:11">
      <c r="I176" s="310"/>
      <c r="K176" s="310"/>
    </row>
    <row r="177" spans="9:11">
      <c r="I177" s="310"/>
      <c r="K177" s="310"/>
    </row>
    <row r="178" spans="9:11">
      <c r="I178" s="310"/>
      <c r="K178" s="310"/>
    </row>
    <row r="179" spans="9:11">
      <c r="I179" s="310"/>
      <c r="K179" s="310"/>
    </row>
    <row r="180" spans="9:11">
      <c r="I180" s="310"/>
      <c r="K180" s="310"/>
    </row>
    <row r="181" spans="9:11">
      <c r="I181" s="310"/>
      <c r="K181" s="310"/>
    </row>
    <row r="182" spans="9:11">
      <c r="I182" s="310"/>
      <c r="K182" s="310"/>
    </row>
    <row r="183" spans="9:11">
      <c r="I183" s="310"/>
      <c r="K183" s="310"/>
    </row>
    <row r="184" spans="9:11">
      <c r="I184" s="310"/>
      <c r="K184" s="310"/>
    </row>
    <row r="185" spans="9:11">
      <c r="I185" s="310"/>
      <c r="K185" s="310"/>
    </row>
    <row r="186" spans="9:11">
      <c r="K186" s="310"/>
    </row>
    <row r="187" spans="9:11">
      <c r="K187" s="310"/>
    </row>
    <row r="188" spans="9:11">
      <c r="K188" s="310"/>
    </row>
    <row r="189" spans="9:11">
      <c r="K189" s="310"/>
    </row>
    <row r="190" spans="9:11">
      <c r="K190" s="310"/>
    </row>
    <row r="191" spans="9:11">
      <c r="K191" s="310"/>
    </row>
    <row r="192" spans="9:11">
      <c r="K192" s="310"/>
    </row>
    <row r="193" spans="11:11">
      <c r="K193" s="310"/>
    </row>
    <row r="194" spans="11:11">
      <c r="K194" s="310"/>
    </row>
    <row r="195" spans="11:11">
      <c r="K195" s="310"/>
    </row>
    <row r="196" spans="11:11">
      <c r="K196" s="310"/>
    </row>
    <row r="197" spans="11:11">
      <c r="K197" s="310"/>
    </row>
    <row r="198" spans="11:11">
      <c r="K198" s="310"/>
    </row>
    <row r="199" spans="11:11">
      <c r="K199" s="310"/>
    </row>
    <row r="200" spans="11:11">
      <c r="K200" s="310"/>
    </row>
    <row r="201" spans="11:11">
      <c r="K201" s="310"/>
    </row>
    <row r="202" spans="11:11">
      <c r="K202" s="310"/>
    </row>
    <row r="203" spans="11:11">
      <c r="K203" s="310"/>
    </row>
    <row r="204" spans="11:11">
      <c r="K204" s="310"/>
    </row>
    <row r="205" spans="11:11">
      <c r="K205" s="310"/>
    </row>
    <row r="206" spans="11:11">
      <c r="K206" s="310"/>
    </row>
    <row r="207" spans="11:11">
      <c r="K207" s="310"/>
    </row>
    <row r="208" spans="11:11">
      <c r="K208" s="310"/>
    </row>
    <row r="209" spans="11:11">
      <c r="K209" s="310"/>
    </row>
    <row r="210" spans="11:11">
      <c r="K210" s="310"/>
    </row>
    <row r="211" spans="11:11">
      <c r="K211" s="310"/>
    </row>
    <row r="212" spans="11:11">
      <c r="K212" s="310"/>
    </row>
    <row r="213" spans="11:11">
      <c r="K213" s="310"/>
    </row>
    <row r="214" spans="11:11">
      <c r="K214" s="310"/>
    </row>
    <row r="215" spans="11:11">
      <c r="K215" s="310"/>
    </row>
    <row r="216" spans="11:11">
      <c r="K216" s="310"/>
    </row>
    <row r="217" spans="11:11">
      <c r="K217" s="310"/>
    </row>
    <row r="218" spans="11:11">
      <c r="K218" s="310"/>
    </row>
    <row r="219" spans="11:11">
      <c r="K219" s="310"/>
    </row>
    <row r="220" spans="11:11">
      <c r="K220" s="310"/>
    </row>
    <row r="221" spans="11:11">
      <c r="K221" s="310"/>
    </row>
    <row r="222" spans="11:11">
      <c r="K222" s="310"/>
    </row>
    <row r="223" spans="11:11">
      <c r="K223" s="310"/>
    </row>
    <row r="224" spans="11:11">
      <c r="K224" s="310"/>
    </row>
    <row r="225" spans="11:11">
      <c r="K225" s="310"/>
    </row>
    <row r="226" spans="11:11">
      <c r="K226" s="310"/>
    </row>
    <row r="227" spans="11:11">
      <c r="K227" s="310"/>
    </row>
    <row r="228" spans="11:11">
      <c r="K228" s="310"/>
    </row>
    <row r="229" spans="11:11">
      <c r="K229" s="310"/>
    </row>
    <row r="230" spans="11:11">
      <c r="K230" s="310"/>
    </row>
    <row r="231" spans="11:11">
      <c r="K231" s="310"/>
    </row>
    <row r="232" spans="11:11">
      <c r="K232" s="310"/>
    </row>
    <row r="233" spans="11:11">
      <c r="K233" s="310"/>
    </row>
    <row r="234" spans="11:11">
      <c r="K234" s="310"/>
    </row>
    <row r="235" spans="11:11">
      <c r="K235" s="310"/>
    </row>
    <row r="236" spans="11:11">
      <c r="K236" s="310"/>
    </row>
    <row r="237" spans="11:11">
      <c r="K237" s="310"/>
    </row>
    <row r="238" spans="11:11">
      <c r="K238" s="310"/>
    </row>
    <row r="239" spans="11:11">
      <c r="K239" s="310"/>
    </row>
    <row r="240" spans="11:11">
      <c r="K240" s="310"/>
    </row>
    <row r="241" spans="11:11">
      <c r="K241" s="310"/>
    </row>
    <row r="242" spans="11:11">
      <c r="K242" s="310"/>
    </row>
    <row r="243" spans="11:11">
      <c r="K243" s="310"/>
    </row>
    <row r="244" spans="11:11">
      <c r="K244" s="310"/>
    </row>
    <row r="245" spans="11:11">
      <c r="K245" s="310"/>
    </row>
    <row r="246" spans="11:11">
      <c r="K246" s="310"/>
    </row>
    <row r="247" spans="11:11">
      <c r="K247" s="310"/>
    </row>
    <row r="248" spans="11:11">
      <c r="K248" s="310"/>
    </row>
    <row r="249" spans="11:11">
      <c r="K249" s="310"/>
    </row>
    <row r="250" spans="11:11">
      <c r="K250" s="310"/>
    </row>
    <row r="251" spans="11:11">
      <c r="K251" s="310"/>
    </row>
    <row r="252" spans="11:11">
      <c r="K252" s="310"/>
    </row>
    <row r="253" spans="11:11">
      <c r="K253" s="310"/>
    </row>
    <row r="254" spans="11:11">
      <c r="K254" s="310"/>
    </row>
    <row r="255" spans="11:11">
      <c r="K255" s="310"/>
    </row>
    <row r="256" spans="11:11">
      <c r="K256" s="310"/>
    </row>
    <row r="257" spans="11:11">
      <c r="K257" s="310"/>
    </row>
    <row r="258" spans="11:11">
      <c r="K258" s="310"/>
    </row>
    <row r="259" spans="11:11">
      <c r="K259" s="310"/>
    </row>
    <row r="260" spans="11:11">
      <c r="K260" s="310"/>
    </row>
    <row r="261" spans="11:11">
      <c r="K261" s="310"/>
    </row>
    <row r="262" spans="11:11">
      <c r="K262" s="310"/>
    </row>
    <row r="263" spans="11:11">
      <c r="K263" s="310"/>
    </row>
    <row r="264" spans="11:11">
      <c r="K264" s="310"/>
    </row>
    <row r="265" spans="11:11">
      <c r="K265" s="310"/>
    </row>
    <row r="266" spans="11:11">
      <c r="K266" s="310"/>
    </row>
    <row r="267" spans="11:11">
      <c r="K267" s="310"/>
    </row>
    <row r="268" spans="11:11">
      <c r="K268" s="310"/>
    </row>
    <row r="269" spans="11:11">
      <c r="K269" s="310"/>
    </row>
    <row r="270" spans="11:11">
      <c r="K270" s="310"/>
    </row>
    <row r="271" spans="11:11">
      <c r="K271" s="310"/>
    </row>
    <row r="272" spans="11:11">
      <c r="K272" s="310"/>
    </row>
    <row r="273" spans="11:11">
      <c r="K273" s="310"/>
    </row>
    <row r="274" spans="11:11">
      <c r="K274" s="310"/>
    </row>
    <row r="275" spans="11:11">
      <c r="K275" s="310"/>
    </row>
    <row r="276" spans="11:11">
      <c r="K276" s="310"/>
    </row>
    <row r="277" spans="11:11">
      <c r="K277" s="310"/>
    </row>
    <row r="278" spans="11:11">
      <c r="K278" s="310"/>
    </row>
    <row r="279" spans="11:11">
      <c r="K279" s="310"/>
    </row>
    <row r="280" spans="11:11">
      <c r="K280" s="310"/>
    </row>
    <row r="281" spans="11:11">
      <c r="K281" s="310"/>
    </row>
    <row r="282" spans="11:11">
      <c r="K282" s="310"/>
    </row>
    <row r="283" spans="11:11">
      <c r="K283" s="310"/>
    </row>
    <row r="284" spans="11:11">
      <c r="K284" s="310"/>
    </row>
    <row r="285" spans="11:11">
      <c r="K285" s="310"/>
    </row>
    <row r="286" spans="11:11">
      <c r="K286" s="310"/>
    </row>
    <row r="287" spans="11:11">
      <c r="K287" s="310"/>
    </row>
    <row r="288" spans="11:11">
      <c r="K288" s="310"/>
    </row>
    <row r="289" spans="11:11">
      <c r="K289" s="310"/>
    </row>
    <row r="290" spans="11:11">
      <c r="K290" s="310"/>
    </row>
    <row r="291" spans="11:11">
      <c r="K291" s="310"/>
    </row>
    <row r="292" spans="11:11">
      <c r="K292" s="310"/>
    </row>
    <row r="293" spans="11:11">
      <c r="K293" s="310"/>
    </row>
    <row r="294" spans="11:11">
      <c r="K294" s="310"/>
    </row>
    <row r="295" spans="11:11">
      <c r="K295" s="310"/>
    </row>
    <row r="296" spans="11:11">
      <c r="K296" s="310"/>
    </row>
    <row r="297" spans="11:11">
      <c r="K297" s="310"/>
    </row>
    <row r="298" spans="11:11">
      <c r="K298" s="310"/>
    </row>
    <row r="299" spans="11:11">
      <c r="K299" s="310"/>
    </row>
    <row r="300" spans="11:11">
      <c r="K300" s="310"/>
    </row>
    <row r="301" spans="11:11">
      <c r="K301" s="310"/>
    </row>
    <row r="302" spans="11:11">
      <c r="K302" s="310"/>
    </row>
    <row r="303" spans="11:11">
      <c r="K303" s="310"/>
    </row>
    <row r="304" spans="11:11">
      <c r="K304" s="310"/>
    </row>
    <row r="305" spans="11:11">
      <c r="K305" s="310"/>
    </row>
    <row r="306" spans="11:11">
      <c r="K306" s="310"/>
    </row>
    <row r="307" spans="11:11">
      <c r="K307" s="310"/>
    </row>
    <row r="308" spans="11:11">
      <c r="K308" s="310"/>
    </row>
    <row r="309" spans="11:11">
      <c r="K309" s="310"/>
    </row>
    <row r="310" spans="11:11">
      <c r="K310" s="310"/>
    </row>
    <row r="311" spans="11:11">
      <c r="K311" s="310"/>
    </row>
    <row r="312" spans="11:11">
      <c r="K312" s="310"/>
    </row>
    <row r="313" spans="11:11">
      <c r="K313" s="310"/>
    </row>
    <row r="314" spans="11:11">
      <c r="K314" s="310"/>
    </row>
    <row r="315" spans="11:11">
      <c r="K315" s="310"/>
    </row>
    <row r="316" spans="11:11">
      <c r="K316" s="310"/>
    </row>
    <row r="317" spans="11:11">
      <c r="K317" s="310"/>
    </row>
    <row r="318" spans="11:11">
      <c r="K318" s="310"/>
    </row>
    <row r="319" spans="11:11">
      <c r="K319" s="310"/>
    </row>
    <row r="320" spans="11:11">
      <c r="K320" s="310"/>
    </row>
    <row r="321" spans="11:11">
      <c r="K321" s="310"/>
    </row>
    <row r="322" spans="11:11">
      <c r="K322" s="310"/>
    </row>
    <row r="323" spans="11:11">
      <c r="K323" s="310"/>
    </row>
    <row r="324" spans="11:11">
      <c r="K324" s="310"/>
    </row>
    <row r="325" spans="11:11">
      <c r="K325" s="310"/>
    </row>
    <row r="326" spans="11:11">
      <c r="K326" s="310"/>
    </row>
    <row r="327" spans="11:11">
      <c r="K327" s="310"/>
    </row>
    <row r="328" spans="11:11">
      <c r="K328" s="310"/>
    </row>
    <row r="329" spans="11:11">
      <c r="K329" s="310"/>
    </row>
    <row r="330" spans="11:11">
      <c r="K330" s="310"/>
    </row>
    <row r="331" spans="11:11">
      <c r="K331" s="310"/>
    </row>
    <row r="332" spans="11:11">
      <c r="K332" s="310"/>
    </row>
    <row r="333" spans="11:11">
      <c r="K333" s="310"/>
    </row>
    <row r="334" spans="11:11">
      <c r="K334" s="310"/>
    </row>
    <row r="335" spans="11:11">
      <c r="K335" s="310"/>
    </row>
    <row r="336" spans="11:11">
      <c r="K336" s="310"/>
    </row>
    <row r="337" spans="11:11">
      <c r="K337" s="310"/>
    </row>
    <row r="338" spans="11:11">
      <c r="K338" s="310"/>
    </row>
    <row r="339" spans="11:11">
      <c r="K339" s="310"/>
    </row>
    <row r="340" spans="11:11">
      <c r="K340" s="310"/>
    </row>
    <row r="341" spans="11:11">
      <c r="K341" s="310"/>
    </row>
    <row r="342" spans="11:11">
      <c r="K342" s="310"/>
    </row>
    <row r="343" spans="11:11">
      <c r="K343" s="310"/>
    </row>
    <row r="344" spans="11:11">
      <c r="K344" s="310"/>
    </row>
    <row r="345" spans="11:11">
      <c r="K345" s="310"/>
    </row>
    <row r="346" spans="11:11">
      <c r="K346" s="310"/>
    </row>
    <row r="347" spans="11:11">
      <c r="K347" s="310"/>
    </row>
    <row r="348" spans="11:11">
      <c r="K348" s="310"/>
    </row>
    <row r="349" spans="11:11">
      <c r="K349" s="310"/>
    </row>
    <row r="350" spans="11:11">
      <c r="K350" s="310"/>
    </row>
    <row r="351" spans="11:11">
      <c r="K351" s="310"/>
    </row>
    <row r="352" spans="11:11">
      <c r="K352" s="310"/>
    </row>
    <row r="353" spans="11:11">
      <c r="K353" s="310"/>
    </row>
    <row r="354" spans="11:11">
      <c r="K354" s="310"/>
    </row>
    <row r="355" spans="11:11">
      <c r="K355" s="310"/>
    </row>
    <row r="356" spans="11:11">
      <c r="K356" s="310"/>
    </row>
    <row r="357" spans="11:11">
      <c r="K357" s="310"/>
    </row>
    <row r="358" spans="11:11">
      <c r="K358" s="310"/>
    </row>
    <row r="359" spans="11:11">
      <c r="K359" s="310"/>
    </row>
    <row r="360" spans="11:11">
      <c r="K360" s="310"/>
    </row>
    <row r="361" spans="11:11">
      <c r="K361" s="310"/>
    </row>
    <row r="362" spans="11:11">
      <c r="K362" s="310"/>
    </row>
    <row r="363" spans="11:11">
      <c r="K363" s="310"/>
    </row>
    <row r="364" spans="11:11">
      <c r="K364" s="310"/>
    </row>
    <row r="365" spans="11:11">
      <c r="K365" s="310"/>
    </row>
    <row r="366" spans="11:11">
      <c r="K366" s="310"/>
    </row>
    <row r="367" spans="11:11">
      <c r="K367" s="310"/>
    </row>
    <row r="368" spans="11:11">
      <c r="K368" s="310"/>
    </row>
    <row r="369" spans="11:11">
      <c r="K369" s="310"/>
    </row>
    <row r="370" spans="11:11">
      <c r="K370" s="310"/>
    </row>
    <row r="371" spans="11:11">
      <c r="K371" s="310"/>
    </row>
    <row r="372" spans="11:11">
      <c r="K372" s="310"/>
    </row>
    <row r="373" spans="11:11">
      <c r="K373" s="310"/>
    </row>
    <row r="374" spans="11:11">
      <c r="K374" s="310"/>
    </row>
    <row r="375" spans="11:11">
      <c r="K375" s="310"/>
    </row>
    <row r="376" spans="11:11">
      <c r="K376" s="310"/>
    </row>
    <row r="377" spans="11:11">
      <c r="K377" s="310"/>
    </row>
    <row r="378" spans="11:11">
      <c r="K378" s="310"/>
    </row>
    <row r="379" spans="11:11">
      <c r="K379" s="310"/>
    </row>
    <row r="380" spans="11:11">
      <c r="K380" s="310"/>
    </row>
    <row r="381" spans="11:11">
      <c r="K381" s="310"/>
    </row>
    <row r="382" spans="11:11">
      <c r="K382" s="310"/>
    </row>
    <row r="383" spans="11:11">
      <c r="K383" s="310"/>
    </row>
    <row r="384" spans="11:11">
      <c r="K384" s="310"/>
    </row>
    <row r="385" spans="11:11">
      <c r="K385" s="310"/>
    </row>
    <row r="386" spans="11:11">
      <c r="K386" s="310"/>
    </row>
    <row r="387" spans="11:11">
      <c r="K387" s="310"/>
    </row>
    <row r="388" spans="11:11">
      <c r="K388" s="310"/>
    </row>
    <row r="389" spans="11:11">
      <c r="K389" s="310"/>
    </row>
    <row r="390" spans="11:11">
      <c r="K390" s="310"/>
    </row>
    <row r="391" spans="11:11">
      <c r="K391" s="310"/>
    </row>
    <row r="392" spans="11:11">
      <c r="K392" s="310"/>
    </row>
    <row r="393" spans="11:11">
      <c r="K393" s="310"/>
    </row>
    <row r="394" spans="11:11">
      <c r="K394" s="310"/>
    </row>
  </sheetData>
  <sheetProtection algorithmName="SHA-512" hashValue="6xsmaD0CwfBeWP0GfCYVj0Wb0/RiCyRIDQSEps/5SJ79MwNiv/gHVQOWkc2fAKEzO9YV9lVHUXMrIQp2TmpyQA==" saltValue="uynSVCiEoBNZEL0GPz083A==" spinCount="100000" sheet="1" objects="1" scenarios="1"/>
  <phoneticPr fontId="1"/>
  <dataValidations count="17">
    <dataValidation showInputMessage="1" showErrorMessage="1" sqref="B46:B53 B57:D67" xr:uid="{F5DF7AA8-E696-40EF-A772-A3AEC447591B}"/>
    <dataValidation type="list" operator="lessThan" showInputMessage="1" showErrorMessage="1" sqref="B22:B23" xr:uid="{BCE67B49-842D-4624-AD66-E6F0623FBF82}">
      <formula1>$I$19:$I$81</formula1>
    </dataValidation>
    <dataValidation type="list" operator="lessThan" allowBlank="1" showInputMessage="1" showErrorMessage="1" sqref="B18:B21" xr:uid="{7AFABF9C-A368-4F18-A12D-028B33E0AC7D}">
      <formula1>$I$121:$I$138</formula1>
    </dataValidation>
    <dataValidation type="list" allowBlank="1" showInputMessage="1" showErrorMessage="1" sqref="C21" xr:uid="{1FF3433C-05D1-45A2-A2FA-5A1C6859384E}">
      <formula1>INDIRECT($B$21)</formula1>
    </dataValidation>
    <dataValidation type="list" allowBlank="1" showInputMessage="1" showErrorMessage="1" sqref="C20" xr:uid="{87B13C2B-6631-4898-9FDA-70DA49EF455B}">
      <formula1>INDIRECT($B$20)</formula1>
    </dataValidation>
    <dataValidation type="list" allowBlank="1" showInputMessage="1" showErrorMessage="1" sqref="C19" xr:uid="{32C2BEBB-AF5D-44FC-912D-9F6ADD56A6B4}">
      <formula1>INDIRECT($B$19)</formula1>
    </dataValidation>
    <dataValidation type="list" allowBlank="1" showInputMessage="1" showErrorMessage="1" sqref="C18" xr:uid="{A786D08E-324E-4126-AFFE-F106E152AA02}">
      <formula1>INDIRECT($B$18)</formula1>
    </dataValidation>
    <dataValidation type="list" allowBlank="1" showInputMessage="1" showErrorMessage="1" sqref="C23" xr:uid="{5AAD292D-AA4E-4AFA-8D9B-90E49214C91C}">
      <formula1>INDIRECT(B23)</formula1>
    </dataValidation>
    <dataValidation type="list" allowBlank="1" showInputMessage="1" showErrorMessage="1" sqref="C22" xr:uid="{FB58445F-C802-45D0-8FAE-D36AABBE217F}">
      <formula1>INDIRECT($B$22)</formula1>
    </dataValidation>
    <dataValidation type="list" allowBlank="1" showInputMessage="1" showErrorMessage="1" sqref="C17" xr:uid="{A48F1BD9-8A56-4D06-9183-823A577B6C90}">
      <formula1>INDIRECT($B$17)</formula1>
    </dataValidation>
    <dataValidation type="list" operator="lessThan" allowBlank="1" showInputMessage="1" showErrorMessage="1" error="新規課題では入力できません" sqref="B17" xr:uid="{A74FDF07-4055-45F1-9C01-207371695FB0}">
      <formula1>$I$121:$I$138</formula1>
    </dataValidation>
    <dataValidation type="list" allowBlank="1" showInputMessage="1" showErrorMessage="1" sqref="B11:B14" xr:uid="{32E243D0-73D0-4CF2-8CE5-D573C0A35B75}">
      <formula1>$E$4:$E$5</formula1>
    </dataValidation>
    <dataValidation type="custom" operator="lessThan" showInputMessage="1" showErrorMessage="1" error="新規課題では入力できません/cannot input for New projext" sqref="B16" xr:uid="{D4309FAF-17C9-4B39-A99D-6ED5DE244356}">
      <formula1>(B15="継続課題/Continued project")</formula1>
    </dataValidation>
    <dataValidation type="list" allowBlank="1" showInputMessage="1" showErrorMessage="1" sqref="B9" xr:uid="{017234CF-5920-4D73-8979-955B1FC49280}">
      <formula1>$E$9:$E$10</formula1>
    </dataValidation>
    <dataValidation type="list" showInputMessage="1" showErrorMessage="1" sqref="C46:D53" xr:uid="{D06BDE3C-ADC9-47BB-9DEC-86DB274EEAA9}">
      <formula1>$E$4:$E$5</formula1>
    </dataValidation>
    <dataValidation type="list" allowBlank="1" showInputMessage="1" showErrorMessage="1" sqref="B15" xr:uid="{C171BD80-CD2E-41F9-99FE-F95368FA2A39}">
      <formula1>"新規課題/New project,継続課題/Continued project"</formula1>
    </dataValidation>
    <dataValidation type="list" allowBlank="1" showInputMessage="1" showErrorMessage="1" sqref="B10" xr:uid="{C9F71546-5F1D-4CDB-A000-63BC5B7FF57A}">
      <formula1>$F9:$F12</formula1>
    </dataValidation>
  </dataValidations>
  <pageMargins left="0.51181102362204722" right="0.31496062992125984" top="0.55118110236220474" bottom="0.55118110236220474" header="0.31496062992125984" footer="0.31496062992125984"/>
  <pageSetup paperSize="9" scale="44"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A2688-6FD2-4C1C-BF4E-08B72BDDC9CD}">
  <sheetPr>
    <pageSetUpPr fitToPage="1"/>
  </sheetPr>
  <dimension ref="A1:U100"/>
  <sheetViews>
    <sheetView zoomScale="80" zoomScaleNormal="80" workbookViewId="0">
      <selection activeCell="G22" sqref="G22"/>
    </sheetView>
  </sheetViews>
  <sheetFormatPr defaultColWidth="9" defaultRowHeight="18.75" customHeight="1"/>
  <cols>
    <col min="1" max="1" width="26.625" style="1" customWidth="1"/>
    <col min="2" max="2" width="12.5" style="1" customWidth="1"/>
    <col min="3" max="3" width="12.625" style="1" customWidth="1"/>
    <col min="4" max="4" width="12.125" style="1" customWidth="1"/>
    <col min="5" max="5" width="9.5" style="1" customWidth="1"/>
    <col min="6" max="7" width="10.625" style="1" customWidth="1"/>
    <col min="8" max="8" width="43.125" style="1" customWidth="1"/>
    <col min="9" max="9" width="16.625" style="1" customWidth="1"/>
    <col min="10" max="10" width="19.125" style="1" customWidth="1"/>
    <col min="11" max="11" width="18.125" style="1" customWidth="1"/>
    <col min="12" max="12" width="32.125" style="1" customWidth="1"/>
    <col min="13" max="13" width="3.125" style="1" customWidth="1"/>
    <col min="14" max="14" width="10.125" style="1" hidden="1" customWidth="1"/>
    <col min="15" max="15" width="11.5" style="1" hidden="1" customWidth="1"/>
    <col min="16" max="16" width="12.125" style="1" hidden="1" customWidth="1"/>
    <col min="17" max="17" width="11.625" style="1" hidden="1" customWidth="1"/>
    <col min="18" max="18" width="12.625" style="1" hidden="1" customWidth="1"/>
    <col min="19" max="19" width="16.625" style="1" hidden="1" customWidth="1"/>
    <col min="20" max="20" width="47.625" style="1" hidden="1" customWidth="1"/>
    <col min="21" max="21" width="0" style="1" hidden="1" customWidth="1"/>
    <col min="22" max="16384" width="9" style="1"/>
  </cols>
  <sheetData>
    <row r="1" spans="1:21" ht="19.899999999999999">
      <c r="A1" s="1" t="s">
        <v>822</v>
      </c>
      <c r="H1" s="439" t="s">
        <v>36</v>
      </c>
      <c r="J1" s="287"/>
      <c r="N1" s="79" t="s">
        <v>823</v>
      </c>
    </row>
    <row r="2" spans="1:21" ht="33" customHeight="1">
      <c r="A2" s="9" t="s">
        <v>824</v>
      </c>
      <c r="B2" s="6"/>
      <c r="C2" s="6"/>
      <c r="D2" s="6"/>
      <c r="E2" s="664"/>
      <c r="F2" s="665"/>
      <c r="G2" s="666"/>
      <c r="H2" s="286" t="str">
        <f>IF(COUNTIFS(B6:B101,"&lt;&gt;",F6:F101,"(選択下さい)")+COUNTIFS(B6:B101,"&lt;&gt;",J6:J101,"")+COUNTIFS(B6:B101,"&lt;&gt;",L6:L101,"")&gt;0,"F/J/L列の入力漏れが多くなっています。F/J/L列の入力は必須です。 /　Columns F/J/L are often missing. Columns F/J/L are mandatory.","")</f>
        <v/>
      </c>
      <c r="I2" s="6"/>
      <c r="J2" s="6"/>
      <c r="K2" s="6"/>
      <c r="L2" s="6"/>
      <c r="O2" s="210" t="s">
        <v>825</v>
      </c>
      <c r="P2" s="210" t="s">
        <v>61</v>
      </c>
      <c r="Q2" s="210" t="s">
        <v>61</v>
      </c>
      <c r="R2" s="211" t="s">
        <v>826</v>
      </c>
      <c r="S2" s="212" t="s">
        <v>61</v>
      </c>
      <c r="T2" s="284" t="s">
        <v>249</v>
      </c>
    </row>
    <row r="3" spans="1:21" ht="16.5" customHeight="1">
      <c r="A3" s="209" t="s">
        <v>827</v>
      </c>
      <c r="B3" s="7"/>
      <c r="C3" s="7"/>
      <c r="D3" s="7"/>
      <c r="E3" s="7"/>
      <c r="F3" s="7"/>
      <c r="G3" s="8"/>
      <c r="H3" s="7"/>
      <c r="I3" s="7"/>
      <c r="J3" s="7"/>
      <c r="K3" s="7"/>
      <c r="L3" s="7"/>
      <c r="O3" s="210" t="s">
        <v>828</v>
      </c>
      <c r="P3" s="210" t="s">
        <v>829</v>
      </c>
      <c r="Q3" s="212" t="s">
        <v>830</v>
      </c>
      <c r="R3" s="210" t="s">
        <v>831</v>
      </c>
      <c r="S3" s="283" t="s">
        <v>832</v>
      </c>
      <c r="T3" s="284" t="s">
        <v>256</v>
      </c>
    </row>
    <row r="4" spans="1:21" ht="16.5" customHeight="1">
      <c r="A4" s="8" t="s">
        <v>833</v>
      </c>
      <c r="B4" s="7"/>
      <c r="C4" s="7"/>
      <c r="D4" s="24"/>
      <c r="E4" s="7"/>
      <c r="F4" s="7"/>
      <c r="G4" s="8"/>
      <c r="H4" s="7"/>
      <c r="I4" s="7"/>
      <c r="J4" s="7"/>
      <c r="K4" s="7"/>
      <c r="L4" s="7"/>
      <c r="O4" s="213"/>
      <c r="P4" s="213"/>
      <c r="Q4" s="214" t="s">
        <v>834</v>
      </c>
      <c r="R4" s="208" t="s">
        <v>835</v>
      </c>
      <c r="S4" s="1" t="s">
        <v>836</v>
      </c>
      <c r="T4" s="284" t="s">
        <v>261</v>
      </c>
    </row>
    <row r="5" spans="1:21" ht="82.5" customHeight="1">
      <c r="A5" s="207" t="s">
        <v>837</v>
      </c>
      <c r="B5" s="207" t="s">
        <v>838</v>
      </c>
      <c r="C5" s="207" t="s">
        <v>839</v>
      </c>
      <c r="D5" s="207" t="s">
        <v>840</v>
      </c>
      <c r="E5" s="207" t="s">
        <v>841</v>
      </c>
      <c r="F5" s="207" t="s">
        <v>842</v>
      </c>
      <c r="G5" s="207" t="s">
        <v>843</v>
      </c>
      <c r="H5" s="207" t="s">
        <v>844</v>
      </c>
      <c r="I5" s="455" t="s">
        <v>845</v>
      </c>
      <c r="J5" s="207" t="s">
        <v>846</v>
      </c>
      <c r="K5" s="207" t="s">
        <v>847</v>
      </c>
      <c r="L5" s="207" t="s">
        <v>848</v>
      </c>
      <c r="M5" s="5"/>
      <c r="N5" s="5"/>
      <c r="O5" s="216"/>
      <c r="P5" s="216"/>
      <c r="Q5" s="216"/>
      <c r="R5" s="210" t="s">
        <v>849</v>
      </c>
      <c r="S5" s="1" t="s">
        <v>34</v>
      </c>
      <c r="T5" s="284" t="s">
        <v>265</v>
      </c>
      <c r="U5" s="3"/>
    </row>
    <row r="6" spans="1:21" ht="17.25" customHeight="1">
      <c r="A6" s="208" t="s">
        <v>850</v>
      </c>
      <c r="B6" s="234" t="s">
        <v>1094</v>
      </c>
      <c r="C6" s="234" t="s">
        <v>61</v>
      </c>
      <c r="D6" s="234" t="s">
        <v>851</v>
      </c>
      <c r="E6" s="234" t="s">
        <v>61</v>
      </c>
      <c r="F6" s="234" t="s">
        <v>831</v>
      </c>
      <c r="G6" s="235"/>
      <c r="H6" s="234" t="s">
        <v>1111</v>
      </c>
      <c r="I6" s="234" t="s">
        <v>852</v>
      </c>
      <c r="J6" s="234" t="s">
        <v>1112</v>
      </c>
      <c r="K6" s="236" t="s">
        <v>1113</v>
      </c>
      <c r="L6" s="236" t="s">
        <v>1114</v>
      </c>
      <c r="O6" s="216"/>
      <c r="P6" s="216"/>
      <c r="Q6" s="216"/>
      <c r="R6" s="210" t="s">
        <v>853</v>
      </c>
      <c r="S6" s="1" t="s">
        <v>34</v>
      </c>
      <c r="T6" s="284" t="s">
        <v>269</v>
      </c>
    </row>
    <row r="7" spans="1:21" ht="17.25" customHeight="1">
      <c r="A7" s="234" t="s">
        <v>854</v>
      </c>
      <c r="B7" s="234" t="s">
        <v>1115</v>
      </c>
      <c r="C7" s="234" t="s">
        <v>61</v>
      </c>
      <c r="D7" s="234" t="s">
        <v>855</v>
      </c>
      <c r="E7" s="234" t="s">
        <v>61</v>
      </c>
      <c r="F7" s="234" t="s">
        <v>831</v>
      </c>
      <c r="G7" s="234" t="s">
        <v>61</v>
      </c>
      <c r="H7" s="234" t="s">
        <v>1116</v>
      </c>
      <c r="I7" s="234" t="s">
        <v>852</v>
      </c>
      <c r="J7" s="234" t="s">
        <v>1117</v>
      </c>
      <c r="K7" s="236" t="s">
        <v>1118</v>
      </c>
      <c r="L7" s="236" t="s">
        <v>1119</v>
      </c>
      <c r="T7" s="284" t="s">
        <v>276</v>
      </c>
    </row>
    <row r="8" spans="1:21" ht="17.25" customHeight="1">
      <c r="A8" s="234" t="s">
        <v>856</v>
      </c>
      <c r="B8" s="234" t="s">
        <v>1120</v>
      </c>
      <c r="C8" s="234" t="s">
        <v>61</v>
      </c>
      <c r="D8" s="234" t="s">
        <v>855</v>
      </c>
      <c r="E8" s="234" t="s">
        <v>61</v>
      </c>
      <c r="F8" s="234" t="s">
        <v>835</v>
      </c>
      <c r="G8" s="234" t="s">
        <v>61</v>
      </c>
      <c r="H8" s="234" t="s">
        <v>1111</v>
      </c>
      <c r="I8" s="234" t="s">
        <v>852</v>
      </c>
      <c r="J8" s="234" t="s">
        <v>1121</v>
      </c>
      <c r="K8" s="236" t="s">
        <v>1122</v>
      </c>
      <c r="L8" s="236" t="s">
        <v>1123</v>
      </c>
      <c r="S8" s="1" t="s">
        <v>34</v>
      </c>
      <c r="T8" s="284" t="s">
        <v>280</v>
      </c>
    </row>
    <row r="9" spans="1:21" ht="17.25" customHeight="1">
      <c r="A9" s="234" t="s">
        <v>856</v>
      </c>
      <c r="B9" s="234" t="s">
        <v>1124</v>
      </c>
      <c r="C9" s="234" t="s">
        <v>61</v>
      </c>
      <c r="D9" s="234" t="s">
        <v>855</v>
      </c>
      <c r="E9" s="234" t="s">
        <v>61</v>
      </c>
      <c r="F9" s="234" t="s">
        <v>831</v>
      </c>
      <c r="G9" s="234" t="s">
        <v>61</v>
      </c>
      <c r="H9" s="234" t="s">
        <v>1125</v>
      </c>
      <c r="I9" s="234" t="s">
        <v>852</v>
      </c>
      <c r="J9" s="234" t="s">
        <v>1126</v>
      </c>
      <c r="K9" s="236" t="s">
        <v>1127</v>
      </c>
      <c r="L9" s="236" t="s">
        <v>1128</v>
      </c>
      <c r="T9" s="284" t="s">
        <v>284</v>
      </c>
    </row>
    <row r="10" spans="1:21" ht="17.649999999999999">
      <c r="A10" s="234" t="s">
        <v>856</v>
      </c>
      <c r="B10" s="234" t="s">
        <v>1129</v>
      </c>
      <c r="C10" s="234" t="s">
        <v>61</v>
      </c>
      <c r="D10" s="234" t="s">
        <v>855</v>
      </c>
      <c r="E10" s="234" t="s">
        <v>830</v>
      </c>
      <c r="F10" s="234" t="s">
        <v>835</v>
      </c>
      <c r="G10" s="234" t="s">
        <v>1130</v>
      </c>
      <c r="H10" s="234" t="s">
        <v>1131</v>
      </c>
      <c r="I10" s="234" t="s">
        <v>852</v>
      </c>
      <c r="J10" s="234" t="s">
        <v>1126</v>
      </c>
      <c r="K10" s="236" t="s">
        <v>1132</v>
      </c>
      <c r="L10" s="236" t="s">
        <v>1133</v>
      </c>
      <c r="T10" s="285" t="s">
        <v>857</v>
      </c>
    </row>
    <row r="11" spans="1:21" ht="17.649999999999999">
      <c r="A11" s="234" t="s">
        <v>856</v>
      </c>
      <c r="B11" s="234" t="s">
        <v>1134</v>
      </c>
      <c r="C11" s="234" t="s">
        <v>61</v>
      </c>
      <c r="D11" s="234" t="s">
        <v>855</v>
      </c>
      <c r="E11" s="234" t="s">
        <v>830</v>
      </c>
      <c r="F11" s="234" t="s">
        <v>831</v>
      </c>
      <c r="G11" s="234" t="s">
        <v>836</v>
      </c>
      <c r="H11" s="234" t="s">
        <v>1111</v>
      </c>
      <c r="I11" s="234" t="s">
        <v>852</v>
      </c>
      <c r="J11" s="234" t="s">
        <v>1126</v>
      </c>
      <c r="K11" s="236" t="s">
        <v>1132</v>
      </c>
      <c r="L11" s="236" t="s">
        <v>1133</v>
      </c>
    </row>
    <row r="12" spans="1:21" ht="17.649999999999999">
      <c r="A12" s="234" t="s">
        <v>856</v>
      </c>
      <c r="B12" s="234"/>
      <c r="C12" s="234" t="s">
        <v>61</v>
      </c>
      <c r="D12" s="234" t="s">
        <v>855</v>
      </c>
      <c r="E12" s="234" t="s">
        <v>61</v>
      </c>
      <c r="F12" s="234" t="s">
        <v>826</v>
      </c>
      <c r="G12" s="234" t="s">
        <v>61</v>
      </c>
      <c r="H12" s="234"/>
      <c r="I12" s="234" t="s">
        <v>852</v>
      </c>
      <c r="J12" s="234"/>
      <c r="K12" s="236"/>
      <c r="L12" s="236"/>
    </row>
    <row r="13" spans="1:21" ht="17.649999999999999">
      <c r="A13" s="234" t="s">
        <v>856</v>
      </c>
      <c r="B13" s="234"/>
      <c r="C13" s="234" t="s">
        <v>61</v>
      </c>
      <c r="D13" s="234" t="s">
        <v>855</v>
      </c>
      <c r="E13" s="234" t="s">
        <v>61</v>
      </c>
      <c r="F13" s="234" t="s">
        <v>826</v>
      </c>
      <c r="G13" s="234" t="s">
        <v>61</v>
      </c>
      <c r="H13" s="234"/>
      <c r="I13" s="234" t="s">
        <v>852</v>
      </c>
      <c r="J13" s="234"/>
      <c r="K13" s="236"/>
      <c r="L13" s="236"/>
      <c r="T13" s="40"/>
    </row>
    <row r="14" spans="1:21" ht="17.649999999999999">
      <c r="A14" s="234" t="s">
        <v>856</v>
      </c>
      <c r="B14" s="234"/>
      <c r="C14" s="234" t="s">
        <v>61</v>
      </c>
      <c r="D14" s="234" t="s">
        <v>855</v>
      </c>
      <c r="E14" s="234" t="s">
        <v>61</v>
      </c>
      <c r="F14" s="234" t="s">
        <v>826</v>
      </c>
      <c r="G14" s="234" t="s">
        <v>61</v>
      </c>
      <c r="H14" s="234"/>
      <c r="I14" s="234" t="s">
        <v>852</v>
      </c>
      <c r="J14" s="234"/>
      <c r="K14" s="236"/>
      <c r="L14" s="236"/>
      <c r="T14" s="40"/>
    </row>
    <row r="15" spans="1:21" ht="17.649999999999999">
      <c r="A15" s="234" t="s">
        <v>856</v>
      </c>
      <c r="B15" s="234"/>
      <c r="C15" s="234" t="s">
        <v>61</v>
      </c>
      <c r="D15" s="234" t="s">
        <v>855</v>
      </c>
      <c r="E15" s="234" t="s">
        <v>61</v>
      </c>
      <c r="F15" s="234" t="s">
        <v>826</v>
      </c>
      <c r="G15" s="234" t="s">
        <v>61</v>
      </c>
      <c r="H15" s="234"/>
      <c r="I15" s="234" t="s">
        <v>852</v>
      </c>
      <c r="J15" s="234"/>
      <c r="K15" s="236"/>
      <c r="L15" s="236"/>
      <c r="T15" s="40"/>
    </row>
    <row r="16" spans="1:21" ht="17.649999999999999">
      <c r="A16" s="234" t="s">
        <v>856</v>
      </c>
      <c r="B16" s="234"/>
      <c r="C16" s="234" t="s">
        <v>61</v>
      </c>
      <c r="D16" s="234" t="s">
        <v>855</v>
      </c>
      <c r="E16" s="234" t="s">
        <v>61</v>
      </c>
      <c r="F16" s="234" t="s">
        <v>826</v>
      </c>
      <c r="G16" s="234" t="s">
        <v>61</v>
      </c>
      <c r="H16" s="234"/>
      <c r="I16" s="234" t="s">
        <v>852</v>
      </c>
      <c r="J16" s="234"/>
      <c r="K16" s="236"/>
      <c r="L16" s="236"/>
      <c r="T16" s="40"/>
    </row>
    <row r="17" spans="1:20" ht="17.649999999999999">
      <c r="A17" s="234" t="s">
        <v>856</v>
      </c>
      <c r="B17" s="234"/>
      <c r="C17" s="234" t="s">
        <v>61</v>
      </c>
      <c r="D17" s="234" t="s">
        <v>855</v>
      </c>
      <c r="E17" s="234" t="s">
        <v>61</v>
      </c>
      <c r="F17" s="234" t="s">
        <v>826</v>
      </c>
      <c r="G17" s="234" t="s">
        <v>61</v>
      </c>
      <c r="H17" s="234"/>
      <c r="I17" s="234" t="s">
        <v>852</v>
      </c>
      <c r="J17" s="234"/>
      <c r="K17" s="236"/>
      <c r="L17" s="236"/>
      <c r="T17" s="40"/>
    </row>
    <row r="18" spans="1:20" ht="17.649999999999999">
      <c r="A18" s="234" t="s">
        <v>856</v>
      </c>
      <c r="B18" s="234"/>
      <c r="C18" s="234" t="s">
        <v>61</v>
      </c>
      <c r="D18" s="234" t="s">
        <v>855</v>
      </c>
      <c r="E18" s="234" t="s">
        <v>61</v>
      </c>
      <c r="F18" s="234" t="s">
        <v>826</v>
      </c>
      <c r="G18" s="234" t="s">
        <v>61</v>
      </c>
      <c r="H18" s="234"/>
      <c r="I18" s="234" t="s">
        <v>852</v>
      </c>
      <c r="J18" s="234"/>
      <c r="K18" s="236"/>
      <c r="L18" s="236"/>
    </row>
    <row r="19" spans="1:20" ht="17.649999999999999">
      <c r="A19" s="234" t="s">
        <v>856</v>
      </c>
      <c r="B19" s="234"/>
      <c r="C19" s="234" t="s">
        <v>61</v>
      </c>
      <c r="D19" s="234" t="s">
        <v>855</v>
      </c>
      <c r="E19" s="234" t="s">
        <v>61</v>
      </c>
      <c r="F19" s="234" t="s">
        <v>826</v>
      </c>
      <c r="G19" s="234" t="s">
        <v>61</v>
      </c>
      <c r="H19" s="234"/>
      <c r="I19" s="234" t="s">
        <v>852</v>
      </c>
      <c r="J19" s="234"/>
      <c r="K19" s="236"/>
      <c r="L19" s="236"/>
    </row>
    <row r="20" spans="1:20" ht="17.649999999999999">
      <c r="A20" s="234" t="s">
        <v>856</v>
      </c>
      <c r="B20" s="234"/>
      <c r="C20" s="234" t="s">
        <v>61</v>
      </c>
      <c r="D20" s="234" t="s">
        <v>855</v>
      </c>
      <c r="E20" s="234" t="s">
        <v>61</v>
      </c>
      <c r="F20" s="234" t="s">
        <v>826</v>
      </c>
      <c r="G20" s="234" t="s">
        <v>61</v>
      </c>
      <c r="H20" s="234"/>
      <c r="I20" s="234" t="s">
        <v>852</v>
      </c>
      <c r="J20" s="234"/>
      <c r="K20" s="236"/>
      <c r="L20" s="236"/>
    </row>
    <row r="21" spans="1:20" ht="17.649999999999999">
      <c r="A21" s="234" t="s">
        <v>856</v>
      </c>
      <c r="B21" s="234"/>
      <c r="C21" s="234" t="s">
        <v>61</v>
      </c>
      <c r="D21" s="234" t="s">
        <v>855</v>
      </c>
      <c r="E21" s="234" t="s">
        <v>61</v>
      </c>
      <c r="F21" s="234" t="s">
        <v>826</v>
      </c>
      <c r="G21" s="234" t="s">
        <v>61</v>
      </c>
      <c r="H21" s="234"/>
      <c r="I21" s="234" t="s">
        <v>852</v>
      </c>
      <c r="J21" s="234"/>
      <c r="K21" s="236"/>
      <c r="L21" s="236"/>
    </row>
    <row r="22" spans="1:20" ht="17.649999999999999">
      <c r="A22" s="234" t="s">
        <v>856</v>
      </c>
      <c r="B22" s="234"/>
      <c r="C22" s="234" t="s">
        <v>61</v>
      </c>
      <c r="D22" s="234" t="s">
        <v>855</v>
      </c>
      <c r="E22" s="234" t="s">
        <v>61</v>
      </c>
      <c r="F22" s="234" t="s">
        <v>826</v>
      </c>
      <c r="G22" s="234" t="s">
        <v>61</v>
      </c>
      <c r="H22" s="234"/>
      <c r="I22" s="234" t="s">
        <v>852</v>
      </c>
      <c r="J22" s="234"/>
      <c r="K22" s="236"/>
      <c r="L22" s="236"/>
    </row>
    <row r="23" spans="1:20" ht="17.649999999999999">
      <c r="A23" s="234" t="s">
        <v>856</v>
      </c>
      <c r="B23" s="234"/>
      <c r="C23" s="234" t="s">
        <v>61</v>
      </c>
      <c r="D23" s="234" t="s">
        <v>855</v>
      </c>
      <c r="E23" s="234" t="s">
        <v>61</v>
      </c>
      <c r="F23" s="234" t="s">
        <v>826</v>
      </c>
      <c r="G23" s="234" t="s">
        <v>61</v>
      </c>
      <c r="H23" s="234"/>
      <c r="I23" s="234" t="s">
        <v>852</v>
      </c>
      <c r="J23" s="234"/>
      <c r="K23" s="236"/>
      <c r="L23" s="236"/>
    </row>
    <row r="24" spans="1:20" ht="17.649999999999999">
      <c r="A24" s="234" t="s">
        <v>856</v>
      </c>
      <c r="B24" s="234"/>
      <c r="C24" s="234" t="s">
        <v>61</v>
      </c>
      <c r="D24" s="234" t="s">
        <v>855</v>
      </c>
      <c r="E24" s="234" t="s">
        <v>61</v>
      </c>
      <c r="F24" s="234" t="s">
        <v>826</v>
      </c>
      <c r="G24" s="234" t="s">
        <v>61</v>
      </c>
      <c r="H24" s="234"/>
      <c r="I24" s="234" t="s">
        <v>852</v>
      </c>
      <c r="J24" s="234"/>
      <c r="K24" s="236"/>
      <c r="L24" s="236"/>
    </row>
    <row r="25" spans="1:20" ht="17.649999999999999">
      <c r="A25" s="234" t="s">
        <v>856</v>
      </c>
      <c r="B25" s="234"/>
      <c r="C25" s="234" t="s">
        <v>61</v>
      </c>
      <c r="D25" s="234" t="s">
        <v>855</v>
      </c>
      <c r="E25" s="234" t="s">
        <v>61</v>
      </c>
      <c r="F25" s="234" t="s">
        <v>826</v>
      </c>
      <c r="G25" s="234" t="s">
        <v>61</v>
      </c>
      <c r="H25" s="234"/>
      <c r="I25" s="234" t="s">
        <v>852</v>
      </c>
      <c r="J25" s="234"/>
      <c r="K25" s="236"/>
      <c r="L25" s="236"/>
    </row>
    <row r="26" spans="1:20" ht="17.649999999999999">
      <c r="A26" s="234" t="s">
        <v>856</v>
      </c>
      <c r="B26" s="234"/>
      <c r="C26" s="234" t="s">
        <v>61</v>
      </c>
      <c r="D26" s="234" t="s">
        <v>855</v>
      </c>
      <c r="E26" s="234" t="s">
        <v>61</v>
      </c>
      <c r="F26" s="234" t="s">
        <v>826</v>
      </c>
      <c r="G26" s="234" t="s">
        <v>61</v>
      </c>
      <c r="H26" s="234"/>
      <c r="I26" s="234" t="s">
        <v>852</v>
      </c>
      <c r="J26" s="234"/>
      <c r="K26" s="236"/>
      <c r="L26" s="236"/>
    </row>
    <row r="27" spans="1:20" ht="17.649999999999999">
      <c r="A27" s="234" t="s">
        <v>856</v>
      </c>
      <c r="B27" s="234"/>
      <c r="C27" s="234" t="s">
        <v>61</v>
      </c>
      <c r="D27" s="234" t="s">
        <v>855</v>
      </c>
      <c r="E27" s="234" t="s">
        <v>61</v>
      </c>
      <c r="F27" s="234" t="s">
        <v>826</v>
      </c>
      <c r="G27" s="234" t="s">
        <v>61</v>
      </c>
      <c r="H27" s="234"/>
      <c r="I27" s="234" t="s">
        <v>852</v>
      </c>
      <c r="J27" s="234"/>
      <c r="K27" s="236"/>
      <c r="L27" s="236"/>
    </row>
    <row r="28" spans="1:20" ht="17.649999999999999">
      <c r="A28" s="234" t="s">
        <v>856</v>
      </c>
      <c r="B28" s="234"/>
      <c r="C28" s="234" t="s">
        <v>61</v>
      </c>
      <c r="D28" s="234" t="s">
        <v>855</v>
      </c>
      <c r="E28" s="234" t="s">
        <v>61</v>
      </c>
      <c r="F28" s="234" t="s">
        <v>826</v>
      </c>
      <c r="G28" s="234" t="s">
        <v>61</v>
      </c>
      <c r="H28" s="234"/>
      <c r="I28" s="234" t="s">
        <v>852</v>
      </c>
      <c r="J28" s="234"/>
      <c r="K28" s="236"/>
      <c r="L28" s="236"/>
    </row>
    <row r="29" spans="1:20" ht="17.649999999999999">
      <c r="A29" s="234" t="s">
        <v>856</v>
      </c>
      <c r="B29" s="234"/>
      <c r="C29" s="234" t="s">
        <v>61</v>
      </c>
      <c r="D29" s="234" t="s">
        <v>855</v>
      </c>
      <c r="E29" s="234" t="s">
        <v>61</v>
      </c>
      <c r="F29" s="234" t="s">
        <v>826</v>
      </c>
      <c r="G29" s="234" t="s">
        <v>61</v>
      </c>
      <c r="H29" s="234"/>
      <c r="I29" s="234" t="s">
        <v>852</v>
      </c>
      <c r="J29" s="234"/>
      <c r="K29" s="236"/>
      <c r="L29" s="236"/>
    </row>
    <row r="30" spans="1:20" ht="17.649999999999999">
      <c r="A30" s="234" t="s">
        <v>856</v>
      </c>
      <c r="B30" s="234"/>
      <c r="C30" s="234" t="s">
        <v>61</v>
      </c>
      <c r="D30" s="234" t="s">
        <v>855</v>
      </c>
      <c r="E30" s="234" t="s">
        <v>61</v>
      </c>
      <c r="F30" s="234" t="s">
        <v>826</v>
      </c>
      <c r="G30" s="234" t="s">
        <v>61</v>
      </c>
      <c r="H30" s="234"/>
      <c r="I30" s="234" t="s">
        <v>852</v>
      </c>
      <c r="J30" s="234"/>
      <c r="K30" s="236"/>
      <c r="L30" s="236"/>
    </row>
    <row r="31" spans="1:20" ht="17.649999999999999">
      <c r="A31" s="234" t="s">
        <v>856</v>
      </c>
      <c r="B31" s="234"/>
      <c r="C31" s="234" t="s">
        <v>61</v>
      </c>
      <c r="D31" s="234" t="s">
        <v>855</v>
      </c>
      <c r="E31" s="234" t="s">
        <v>61</v>
      </c>
      <c r="F31" s="234" t="s">
        <v>826</v>
      </c>
      <c r="G31" s="234" t="s">
        <v>61</v>
      </c>
      <c r="H31" s="234"/>
      <c r="I31" s="234" t="s">
        <v>852</v>
      </c>
      <c r="J31" s="234"/>
      <c r="K31" s="236"/>
      <c r="L31" s="236"/>
    </row>
    <row r="32" spans="1:20" ht="17.649999999999999">
      <c r="A32" s="234" t="s">
        <v>856</v>
      </c>
      <c r="B32" s="234"/>
      <c r="C32" s="234" t="s">
        <v>61</v>
      </c>
      <c r="D32" s="234" t="s">
        <v>855</v>
      </c>
      <c r="E32" s="234" t="s">
        <v>61</v>
      </c>
      <c r="F32" s="234" t="s">
        <v>826</v>
      </c>
      <c r="G32" s="234" t="s">
        <v>61</v>
      </c>
      <c r="H32" s="234"/>
      <c r="I32" s="234" t="s">
        <v>852</v>
      </c>
      <c r="J32" s="234"/>
      <c r="K32" s="236"/>
      <c r="L32" s="236"/>
    </row>
    <row r="33" spans="1:12" ht="17.649999999999999">
      <c r="A33" s="234" t="s">
        <v>856</v>
      </c>
      <c r="B33" s="234"/>
      <c r="C33" s="234" t="s">
        <v>61</v>
      </c>
      <c r="D33" s="234" t="s">
        <v>855</v>
      </c>
      <c r="E33" s="234" t="s">
        <v>61</v>
      </c>
      <c r="F33" s="234" t="s">
        <v>826</v>
      </c>
      <c r="G33" s="234" t="s">
        <v>61</v>
      </c>
      <c r="H33" s="234"/>
      <c r="I33" s="234" t="s">
        <v>852</v>
      </c>
      <c r="J33" s="234"/>
      <c r="K33" s="236"/>
      <c r="L33" s="236"/>
    </row>
    <row r="34" spans="1:12" ht="17.649999999999999">
      <c r="A34" s="234" t="s">
        <v>856</v>
      </c>
      <c r="B34" s="234"/>
      <c r="C34" s="234" t="s">
        <v>61</v>
      </c>
      <c r="D34" s="234" t="s">
        <v>855</v>
      </c>
      <c r="E34" s="234" t="s">
        <v>61</v>
      </c>
      <c r="F34" s="234" t="s">
        <v>826</v>
      </c>
      <c r="G34" s="234" t="s">
        <v>61</v>
      </c>
      <c r="H34" s="234"/>
      <c r="I34" s="234" t="s">
        <v>852</v>
      </c>
      <c r="J34" s="234"/>
      <c r="K34" s="236"/>
      <c r="L34" s="236"/>
    </row>
    <row r="35" spans="1:12" ht="17.649999999999999">
      <c r="A35" s="234" t="s">
        <v>856</v>
      </c>
      <c r="B35" s="234"/>
      <c r="C35" s="234" t="s">
        <v>61</v>
      </c>
      <c r="D35" s="234" t="s">
        <v>855</v>
      </c>
      <c r="E35" s="234" t="s">
        <v>61</v>
      </c>
      <c r="F35" s="234" t="s">
        <v>826</v>
      </c>
      <c r="G35" s="234" t="s">
        <v>61</v>
      </c>
      <c r="H35" s="234"/>
      <c r="I35" s="234" t="s">
        <v>852</v>
      </c>
      <c r="J35" s="234"/>
      <c r="K35" s="236"/>
      <c r="L35" s="236"/>
    </row>
    <row r="36" spans="1:12" ht="17.649999999999999">
      <c r="A36" s="234" t="s">
        <v>856</v>
      </c>
      <c r="B36" s="234"/>
      <c r="C36" s="234" t="s">
        <v>61</v>
      </c>
      <c r="D36" s="234" t="s">
        <v>855</v>
      </c>
      <c r="E36" s="234" t="s">
        <v>61</v>
      </c>
      <c r="F36" s="234" t="s">
        <v>826</v>
      </c>
      <c r="G36" s="234" t="s">
        <v>61</v>
      </c>
      <c r="H36" s="234"/>
      <c r="I36" s="234" t="s">
        <v>852</v>
      </c>
      <c r="J36" s="234"/>
      <c r="K36" s="236"/>
      <c r="L36" s="236"/>
    </row>
    <row r="37" spans="1:12" ht="17.649999999999999">
      <c r="A37" s="234" t="s">
        <v>856</v>
      </c>
      <c r="B37" s="234"/>
      <c r="C37" s="234" t="s">
        <v>61</v>
      </c>
      <c r="D37" s="234" t="s">
        <v>855</v>
      </c>
      <c r="E37" s="234" t="s">
        <v>61</v>
      </c>
      <c r="F37" s="234" t="s">
        <v>826</v>
      </c>
      <c r="G37" s="234" t="s">
        <v>61</v>
      </c>
      <c r="H37" s="234"/>
      <c r="I37" s="234" t="s">
        <v>852</v>
      </c>
      <c r="J37" s="234"/>
      <c r="K37" s="236"/>
      <c r="L37" s="236"/>
    </row>
    <row r="38" spans="1:12" ht="17.649999999999999">
      <c r="A38" s="234" t="s">
        <v>856</v>
      </c>
      <c r="B38" s="234"/>
      <c r="C38" s="234" t="s">
        <v>61</v>
      </c>
      <c r="D38" s="234" t="s">
        <v>855</v>
      </c>
      <c r="E38" s="234" t="s">
        <v>61</v>
      </c>
      <c r="F38" s="234" t="s">
        <v>826</v>
      </c>
      <c r="G38" s="234" t="s">
        <v>61</v>
      </c>
      <c r="H38" s="234"/>
      <c r="I38" s="234" t="s">
        <v>852</v>
      </c>
      <c r="J38" s="234"/>
      <c r="K38" s="236"/>
      <c r="L38" s="236"/>
    </row>
    <row r="39" spans="1:12" ht="17.649999999999999">
      <c r="A39" s="234" t="s">
        <v>856</v>
      </c>
      <c r="B39" s="234"/>
      <c r="C39" s="234" t="s">
        <v>61</v>
      </c>
      <c r="D39" s="234" t="s">
        <v>855</v>
      </c>
      <c r="E39" s="234" t="s">
        <v>61</v>
      </c>
      <c r="F39" s="234" t="s">
        <v>826</v>
      </c>
      <c r="G39" s="234" t="s">
        <v>61</v>
      </c>
      <c r="H39" s="234"/>
      <c r="I39" s="234" t="s">
        <v>852</v>
      </c>
      <c r="J39" s="234"/>
      <c r="K39" s="236"/>
      <c r="L39" s="236"/>
    </row>
    <row r="40" spans="1:12" ht="17.649999999999999">
      <c r="A40" s="234" t="s">
        <v>856</v>
      </c>
      <c r="B40" s="234"/>
      <c r="C40" s="234" t="s">
        <v>61</v>
      </c>
      <c r="D40" s="234" t="s">
        <v>855</v>
      </c>
      <c r="E40" s="234" t="s">
        <v>61</v>
      </c>
      <c r="F40" s="234" t="s">
        <v>826</v>
      </c>
      <c r="G40" s="234" t="s">
        <v>61</v>
      </c>
      <c r="H40" s="234"/>
      <c r="I40" s="234" t="s">
        <v>852</v>
      </c>
      <c r="J40" s="234"/>
      <c r="K40" s="236"/>
      <c r="L40" s="236"/>
    </row>
    <row r="41" spans="1:12" ht="17.649999999999999">
      <c r="A41" s="234" t="s">
        <v>856</v>
      </c>
      <c r="B41" s="234"/>
      <c r="C41" s="234" t="s">
        <v>61</v>
      </c>
      <c r="D41" s="234" t="s">
        <v>855</v>
      </c>
      <c r="E41" s="234" t="s">
        <v>61</v>
      </c>
      <c r="F41" s="234" t="s">
        <v>826</v>
      </c>
      <c r="G41" s="234" t="s">
        <v>61</v>
      </c>
      <c r="H41" s="234"/>
      <c r="I41" s="234" t="s">
        <v>852</v>
      </c>
      <c r="J41" s="234"/>
      <c r="K41" s="236"/>
      <c r="L41" s="236"/>
    </row>
    <row r="42" spans="1:12" ht="17.649999999999999">
      <c r="A42" s="234" t="s">
        <v>856</v>
      </c>
      <c r="B42" s="234"/>
      <c r="C42" s="234" t="s">
        <v>61</v>
      </c>
      <c r="D42" s="234" t="s">
        <v>855</v>
      </c>
      <c r="E42" s="234" t="s">
        <v>61</v>
      </c>
      <c r="F42" s="234" t="s">
        <v>826</v>
      </c>
      <c r="G42" s="234" t="s">
        <v>61</v>
      </c>
      <c r="H42" s="234"/>
      <c r="I42" s="234" t="s">
        <v>852</v>
      </c>
      <c r="J42" s="234"/>
      <c r="K42" s="236"/>
      <c r="L42" s="236"/>
    </row>
    <row r="43" spans="1:12" ht="17.649999999999999">
      <c r="A43" s="234" t="s">
        <v>856</v>
      </c>
      <c r="B43" s="234"/>
      <c r="C43" s="234" t="s">
        <v>61</v>
      </c>
      <c r="D43" s="234" t="s">
        <v>855</v>
      </c>
      <c r="E43" s="234" t="s">
        <v>61</v>
      </c>
      <c r="F43" s="234" t="s">
        <v>826</v>
      </c>
      <c r="G43" s="234" t="s">
        <v>61</v>
      </c>
      <c r="H43" s="234"/>
      <c r="I43" s="234" t="s">
        <v>852</v>
      </c>
      <c r="J43" s="234"/>
      <c r="K43" s="236"/>
      <c r="L43" s="236"/>
    </row>
    <row r="44" spans="1:12" ht="17.649999999999999">
      <c r="A44" s="234" t="s">
        <v>856</v>
      </c>
      <c r="B44" s="234"/>
      <c r="C44" s="234" t="s">
        <v>61</v>
      </c>
      <c r="D44" s="234" t="s">
        <v>855</v>
      </c>
      <c r="E44" s="234" t="s">
        <v>61</v>
      </c>
      <c r="F44" s="234" t="s">
        <v>826</v>
      </c>
      <c r="G44" s="234" t="s">
        <v>61</v>
      </c>
      <c r="H44" s="234"/>
      <c r="I44" s="234" t="s">
        <v>852</v>
      </c>
      <c r="J44" s="234"/>
      <c r="K44" s="236"/>
      <c r="L44" s="236"/>
    </row>
    <row r="45" spans="1:12" ht="17.649999999999999">
      <c r="A45" s="234" t="s">
        <v>856</v>
      </c>
      <c r="B45" s="234"/>
      <c r="C45" s="234" t="s">
        <v>61</v>
      </c>
      <c r="D45" s="234" t="s">
        <v>855</v>
      </c>
      <c r="E45" s="234" t="s">
        <v>61</v>
      </c>
      <c r="F45" s="234" t="s">
        <v>826</v>
      </c>
      <c r="G45" s="234" t="s">
        <v>61</v>
      </c>
      <c r="H45" s="234"/>
      <c r="I45" s="234" t="s">
        <v>852</v>
      </c>
      <c r="J45" s="234"/>
      <c r="K45" s="236"/>
      <c r="L45" s="236"/>
    </row>
    <row r="46" spans="1:12" ht="17.649999999999999">
      <c r="A46" s="234" t="s">
        <v>856</v>
      </c>
      <c r="B46" s="234"/>
      <c r="C46" s="234" t="s">
        <v>61</v>
      </c>
      <c r="D46" s="234" t="s">
        <v>855</v>
      </c>
      <c r="E46" s="234" t="s">
        <v>61</v>
      </c>
      <c r="F46" s="234" t="s">
        <v>826</v>
      </c>
      <c r="G46" s="234" t="s">
        <v>61</v>
      </c>
      <c r="H46" s="234"/>
      <c r="I46" s="234" t="s">
        <v>852</v>
      </c>
      <c r="J46" s="234"/>
      <c r="K46" s="236"/>
      <c r="L46" s="236"/>
    </row>
    <row r="47" spans="1:12" ht="17.649999999999999">
      <c r="A47" s="234" t="s">
        <v>856</v>
      </c>
      <c r="B47" s="234"/>
      <c r="C47" s="234" t="s">
        <v>61</v>
      </c>
      <c r="D47" s="234" t="s">
        <v>855</v>
      </c>
      <c r="E47" s="234" t="s">
        <v>61</v>
      </c>
      <c r="F47" s="234" t="s">
        <v>826</v>
      </c>
      <c r="G47" s="234" t="s">
        <v>61</v>
      </c>
      <c r="H47" s="234"/>
      <c r="I47" s="234" t="s">
        <v>852</v>
      </c>
      <c r="J47" s="234"/>
      <c r="K47" s="236"/>
      <c r="L47" s="236"/>
    </row>
    <row r="48" spans="1:12" ht="17.649999999999999">
      <c r="A48" s="234" t="s">
        <v>856</v>
      </c>
      <c r="B48" s="234"/>
      <c r="C48" s="234" t="s">
        <v>61</v>
      </c>
      <c r="D48" s="234" t="s">
        <v>855</v>
      </c>
      <c r="E48" s="234" t="s">
        <v>61</v>
      </c>
      <c r="F48" s="234" t="s">
        <v>826</v>
      </c>
      <c r="G48" s="234" t="s">
        <v>61</v>
      </c>
      <c r="H48" s="234"/>
      <c r="I48" s="234" t="s">
        <v>852</v>
      </c>
      <c r="J48" s="234"/>
      <c r="K48" s="236"/>
      <c r="L48" s="236"/>
    </row>
    <row r="49" spans="1:20" ht="17.649999999999999">
      <c r="A49" s="234" t="s">
        <v>856</v>
      </c>
      <c r="B49" s="234"/>
      <c r="C49" s="234" t="s">
        <v>61</v>
      </c>
      <c r="D49" s="234" t="s">
        <v>855</v>
      </c>
      <c r="E49" s="234" t="s">
        <v>61</v>
      </c>
      <c r="F49" s="234" t="s">
        <v>826</v>
      </c>
      <c r="G49" s="234" t="s">
        <v>61</v>
      </c>
      <c r="H49" s="234"/>
      <c r="I49" s="234" t="s">
        <v>852</v>
      </c>
      <c r="J49" s="234"/>
      <c r="K49" s="236"/>
      <c r="L49" s="236"/>
    </row>
    <row r="50" spans="1:20" ht="17.649999999999999">
      <c r="A50" s="234" t="s">
        <v>856</v>
      </c>
      <c r="B50" s="234"/>
      <c r="C50" s="234" t="s">
        <v>61</v>
      </c>
      <c r="D50" s="234" t="s">
        <v>855</v>
      </c>
      <c r="E50" s="234" t="s">
        <v>61</v>
      </c>
      <c r="F50" s="234" t="s">
        <v>826</v>
      </c>
      <c r="G50" s="234" t="s">
        <v>61</v>
      </c>
      <c r="H50" s="234"/>
      <c r="I50" s="234" t="s">
        <v>852</v>
      </c>
      <c r="J50" s="234"/>
      <c r="K50" s="236"/>
      <c r="L50" s="236"/>
    </row>
    <row r="51" spans="1:20" ht="17.649999999999999">
      <c r="A51" s="234" t="s">
        <v>856</v>
      </c>
      <c r="B51" s="234"/>
      <c r="C51" s="234" t="s">
        <v>61</v>
      </c>
      <c r="D51" s="234" t="s">
        <v>855</v>
      </c>
      <c r="E51" s="234" t="s">
        <v>61</v>
      </c>
      <c r="F51" s="234" t="s">
        <v>826</v>
      </c>
      <c r="G51" s="234" t="s">
        <v>61</v>
      </c>
      <c r="H51" s="234"/>
      <c r="I51" s="234" t="s">
        <v>852</v>
      </c>
      <c r="J51" s="234"/>
      <c r="K51" s="236"/>
      <c r="L51" s="236"/>
    </row>
    <row r="52" spans="1:20" ht="17.25" customHeight="1">
      <c r="A52" s="234" t="s">
        <v>856</v>
      </c>
      <c r="B52" s="234"/>
      <c r="C52" s="234" t="s">
        <v>61</v>
      </c>
      <c r="D52" s="234" t="s">
        <v>855</v>
      </c>
      <c r="E52" s="234" t="s">
        <v>61</v>
      </c>
      <c r="F52" s="234" t="s">
        <v>826</v>
      </c>
      <c r="G52" s="234" t="s">
        <v>61</v>
      </c>
      <c r="H52" s="234"/>
      <c r="I52" s="234" t="s">
        <v>852</v>
      </c>
      <c r="J52" s="234"/>
      <c r="K52" s="236"/>
      <c r="L52" s="236"/>
      <c r="S52" s="1" t="s">
        <v>34</v>
      </c>
      <c r="T52" s="437"/>
    </row>
    <row r="53" spans="1:20" ht="17.25" customHeight="1">
      <c r="A53" s="234" t="s">
        <v>856</v>
      </c>
      <c r="B53" s="234"/>
      <c r="C53" s="234" t="s">
        <v>61</v>
      </c>
      <c r="D53" s="234" t="s">
        <v>855</v>
      </c>
      <c r="E53" s="234" t="s">
        <v>61</v>
      </c>
      <c r="F53" s="234" t="s">
        <v>826</v>
      </c>
      <c r="G53" s="234" t="s">
        <v>61</v>
      </c>
      <c r="H53" s="234"/>
      <c r="I53" s="234" t="s">
        <v>852</v>
      </c>
      <c r="J53" s="234"/>
      <c r="K53" s="236"/>
      <c r="L53" s="236"/>
      <c r="T53" s="437"/>
    </row>
    <row r="54" spans="1:20" ht="17.649999999999999">
      <c r="A54" s="234" t="s">
        <v>856</v>
      </c>
      <c r="B54" s="234"/>
      <c r="C54" s="234" t="s">
        <v>61</v>
      </c>
      <c r="D54" s="234" t="s">
        <v>855</v>
      </c>
      <c r="E54" s="234" t="s">
        <v>61</v>
      </c>
      <c r="F54" s="234" t="s">
        <v>826</v>
      </c>
      <c r="G54" s="234" t="s">
        <v>61</v>
      </c>
      <c r="H54" s="234"/>
      <c r="I54" s="234" t="s">
        <v>852</v>
      </c>
      <c r="J54" s="234"/>
      <c r="K54" s="236"/>
      <c r="L54" s="236"/>
    </row>
    <row r="55" spans="1:20" ht="17.649999999999999">
      <c r="A55" s="234" t="s">
        <v>856</v>
      </c>
      <c r="B55" s="234"/>
      <c r="C55" s="234" t="s">
        <v>61</v>
      </c>
      <c r="D55" s="234" t="s">
        <v>855</v>
      </c>
      <c r="E55" s="234" t="s">
        <v>61</v>
      </c>
      <c r="F55" s="234" t="s">
        <v>826</v>
      </c>
      <c r="G55" s="234" t="s">
        <v>61</v>
      </c>
      <c r="H55" s="234"/>
      <c r="I55" s="234" t="s">
        <v>852</v>
      </c>
      <c r="J55" s="234"/>
      <c r="K55" s="236"/>
      <c r="L55" s="236"/>
    </row>
    <row r="56" spans="1:20" ht="17.649999999999999">
      <c r="A56" s="234" t="s">
        <v>856</v>
      </c>
      <c r="B56" s="234"/>
      <c r="C56" s="234" t="s">
        <v>61</v>
      </c>
      <c r="D56" s="234" t="s">
        <v>855</v>
      </c>
      <c r="E56" s="234" t="s">
        <v>61</v>
      </c>
      <c r="F56" s="234" t="s">
        <v>826</v>
      </c>
      <c r="G56" s="234" t="s">
        <v>61</v>
      </c>
      <c r="H56" s="234"/>
      <c r="I56" s="234" t="s">
        <v>852</v>
      </c>
      <c r="J56" s="234"/>
      <c r="K56" s="236"/>
      <c r="L56" s="236"/>
    </row>
    <row r="57" spans="1:20" ht="17.649999999999999">
      <c r="A57" s="234" t="s">
        <v>856</v>
      </c>
      <c r="B57" s="234"/>
      <c r="C57" s="234" t="s">
        <v>61</v>
      </c>
      <c r="D57" s="234" t="s">
        <v>855</v>
      </c>
      <c r="E57" s="234" t="s">
        <v>61</v>
      </c>
      <c r="F57" s="234" t="s">
        <v>826</v>
      </c>
      <c r="G57" s="234" t="s">
        <v>61</v>
      </c>
      <c r="H57" s="234"/>
      <c r="I57" s="234" t="s">
        <v>852</v>
      </c>
      <c r="J57" s="234"/>
      <c r="K57" s="236"/>
      <c r="L57" s="236"/>
    </row>
    <row r="58" spans="1:20" ht="17.649999999999999">
      <c r="A58" s="234" t="s">
        <v>856</v>
      </c>
      <c r="B58" s="234"/>
      <c r="C58" s="234" t="s">
        <v>61</v>
      </c>
      <c r="D58" s="234" t="s">
        <v>855</v>
      </c>
      <c r="E58" s="234" t="s">
        <v>61</v>
      </c>
      <c r="F58" s="234" t="s">
        <v>826</v>
      </c>
      <c r="G58" s="234" t="s">
        <v>61</v>
      </c>
      <c r="H58" s="234"/>
      <c r="I58" s="234" t="s">
        <v>852</v>
      </c>
      <c r="J58" s="234"/>
      <c r="K58" s="236"/>
      <c r="L58" s="236"/>
    </row>
    <row r="59" spans="1:20" ht="17.649999999999999">
      <c r="A59" s="234" t="s">
        <v>856</v>
      </c>
      <c r="B59" s="234"/>
      <c r="C59" s="234" t="s">
        <v>61</v>
      </c>
      <c r="D59" s="234" t="s">
        <v>855</v>
      </c>
      <c r="E59" s="234" t="s">
        <v>61</v>
      </c>
      <c r="F59" s="234" t="s">
        <v>826</v>
      </c>
      <c r="G59" s="234" t="s">
        <v>61</v>
      </c>
      <c r="H59" s="234"/>
      <c r="I59" s="234" t="s">
        <v>852</v>
      </c>
      <c r="J59" s="234"/>
      <c r="K59" s="236"/>
      <c r="L59" s="236"/>
    </row>
    <row r="60" spans="1:20" ht="17.649999999999999">
      <c r="A60" s="234" t="s">
        <v>856</v>
      </c>
      <c r="B60" s="234"/>
      <c r="C60" s="234" t="s">
        <v>61</v>
      </c>
      <c r="D60" s="234" t="s">
        <v>855</v>
      </c>
      <c r="E60" s="234" t="s">
        <v>61</v>
      </c>
      <c r="F60" s="234" t="s">
        <v>826</v>
      </c>
      <c r="G60" s="234" t="s">
        <v>61</v>
      </c>
      <c r="H60" s="234"/>
      <c r="I60" s="234" t="s">
        <v>852</v>
      </c>
      <c r="J60" s="234"/>
      <c r="K60" s="236"/>
      <c r="L60" s="236"/>
    </row>
    <row r="61" spans="1:20" ht="17.649999999999999">
      <c r="A61" s="234" t="s">
        <v>856</v>
      </c>
      <c r="B61" s="234"/>
      <c r="C61" s="234" t="s">
        <v>61</v>
      </c>
      <c r="D61" s="234" t="s">
        <v>855</v>
      </c>
      <c r="E61" s="234" t="s">
        <v>61</v>
      </c>
      <c r="F61" s="234" t="s">
        <v>826</v>
      </c>
      <c r="G61" s="234" t="s">
        <v>61</v>
      </c>
      <c r="H61" s="234"/>
      <c r="I61" s="234" t="s">
        <v>852</v>
      </c>
      <c r="J61" s="234"/>
      <c r="K61" s="236"/>
      <c r="L61" s="236"/>
    </row>
    <row r="62" spans="1:20" ht="17.649999999999999">
      <c r="A62" s="234" t="s">
        <v>856</v>
      </c>
      <c r="B62" s="234"/>
      <c r="C62" s="234" t="s">
        <v>61</v>
      </c>
      <c r="D62" s="234" t="s">
        <v>855</v>
      </c>
      <c r="E62" s="234" t="s">
        <v>61</v>
      </c>
      <c r="F62" s="234" t="s">
        <v>826</v>
      </c>
      <c r="G62" s="234" t="s">
        <v>61</v>
      </c>
      <c r="H62" s="234"/>
      <c r="I62" s="234" t="s">
        <v>852</v>
      </c>
      <c r="J62" s="234"/>
      <c r="K62" s="236"/>
      <c r="L62" s="236"/>
    </row>
    <row r="63" spans="1:20" ht="17.649999999999999">
      <c r="A63" s="234" t="s">
        <v>856</v>
      </c>
      <c r="B63" s="234"/>
      <c r="C63" s="234" t="s">
        <v>61</v>
      </c>
      <c r="D63" s="234" t="s">
        <v>855</v>
      </c>
      <c r="E63" s="234" t="s">
        <v>61</v>
      </c>
      <c r="F63" s="234" t="s">
        <v>826</v>
      </c>
      <c r="G63" s="234" t="s">
        <v>61</v>
      </c>
      <c r="H63" s="234"/>
      <c r="I63" s="234" t="s">
        <v>852</v>
      </c>
      <c r="J63" s="234"/>
      <c r="K63" s="236"/>
      <c r="L63" s="236"/>
    </row>
    <row r="64" spans="1:20" ht="17.649999999999999">
      <c r="A64" s="234" t="s">
        <v>856</v>
      </c>
      <c r="B64" s="234"/>
      <c r="C64" s="234" t="s">
        <v>61</v>
      </c>
      <c r="D64" s="234" t="s">
        <v>855</v>
      </c>
      <c r="E64" s="234" t="s">
        <v>61</v>
      </c>
      <c r="F64" s="234" t="s">
        <v>826</v>
      </c>
      <c r="G64" s="234" t="s">
        <v>61</v>
      </c>
      <c r="H64" s="234"/>
      <c r="I64" s="234" t="s">
        <v>852</v>
      </c>
      <c r="J64" s="234"/>
      <c r="K64" s="236"/>
      <c r="L64" s="236"/>
    </row>
    <row r="65" spans="1:12" ht="17.649999999999999">
      <c r="A65" s="234" t="s">
        <v>856</v>
      </c>
      <c r="B65" s="234"/>
      <c r="C65" s="234" t="s">
        <v>61</v>
      </c>
      <c r="D65" s="234" t="s">
        <v>855</v>
      </c>
      <c r="E65" s="234" t="s">
        <v>61</v>
      </c>
      <c r="F65" s="234" t="s">
        <v>826</v>
      </c>
      <c r="G65" s="234" t="s">
        <v>61</v>
      </c>
      <c r="H65" s="234"/>
      <c r="I65" s="234" t="s">
        <v>852</v>
      </c>
      <c r="J65" s="234"/>
      <c r="K65" s="236"/>
      <c r="L65" s="236"/>
    </row>
    <row r="66" spans="1:12" ht="17.649999999999999">
      <c r="A66" s="234" t="s">
        <v>856</v>
      </c>
      <c r="B66" s="234"/>
      <c r="C66" s="234" t="s">
        <v>61</v>
      </c>
      <c r="D66" s="234" t="s">
        <v>855</v>
      </c>
      <c r="E66" s="234" t="s">
        <v>61</v>
      </c>
      <c r="F66" s="234" t="s">
        <v>826</v>
      </c>
      <c r="G66" s="234" t="s">
        <v>61</v>
      </c>
      <c r="H66" s="234"/>
      <c r="I66" s="234" t="s">
        <v>852</v>
      </c>
      <c r="J66" s="234"/>
      <c r="K66" s="236"/>
      <c r="L66" s="236"/>
    </row>
    <row r="67" spans="1:12" ht="17.649999999999999">
      <c r="A67" s="234" t="s">
        <v>856</v>
      </c>
      <c r="B67" s="234"/>
      <c r="C67" s="234" t="s">
        <v>61</v>
      </c>
      <c r="D67" s="234" t="s">
        <v>855</v>
      </c>
      <c r="E67" s="234" t="s">
        <v>61</v>
      </c>
      <c r="F67" s="234" t="s">
        <v>826</v>
      </c>
      <c r="G67" s="234" t="s">
        <v>61</v>
      </c>
      <c r="H67" s="234"/>
      <c r="I67" s="234" t="s">
        <v>852</v>
      </c>
      <c r="J67" s="234"/>
      <c r="K67" s="236"/>
      <c r="L67" s="236"/>
    </row>
    <row r="68" spans="1:12" ht="17.649999999999999">
      <c r="A68" s="234" t="s">
        <v>856</v>
      </c>
      <c r="B68" s="234"/>
      <c r="C68" s="234" t="s">
        <v>61</v>
      </c>
      <c r="D68" s="234" t="s">
        <v>855</v>
      </c>
      <c r="E68" s="234" t="s">
        <v>61</v>
      </c>
      <c r="F68" s="234" t="s">
        <v>826</v>
      </c>
      <c r="G68" s="234" t="s">
        <v>61</v>
      </c>
      <c r="H68" s="234"/>
      <c r="I68" s="234" t="s">
        <v>852</v>
      </c>
      <c r="J68" s="234"/>
      <c r="K68" s="236"/>
      <c r="L68" s="236"/>
    </row>
    <row r="69" spans="1:12" ht="17.649999999999999">
      <c r="A69" s="234" t="s">
        <v>856</v>
      </c>
      <c r="B69" s="234"/>
      <c r="C69" s="234" t="s">
        <v>61</v>
      </c>
      <c r="D69" s="234" t="s">
        <v>855</v>
      </c>
      <c r="E69" s="234" t="s">
        <v>61</v>
      </c>
      <c r="F69" s="234" t="s">
        <v>826</v>
      </c>
      <c r="G69" s="234" t="s">
        <v>61</v>
      </c>
      <c r="H69" s="234"/>
      <c r="I69" s="234" t="s">
        <v>852</v>
      </c>
      <c r="J69" s="234"/>
      <c r="K69" s="236"/>
      <c r="L69" s="236"/>
    </row>
    <row r="70" spans="1:12" ht="17.649999999999999">
      <c r="A70" s="234" t="s">
        <v>856</v>
      </c>
      <c r="B70" s="234"/>
      <c r="C70" s="234" t="s">
        <v>61</v>
      </c>
      <c r="D70" s="234" t="s">
        <v>855</v>
      </c>
      <c r="E70" s="234" t="s">
        <v>61</v>
      </c>
      <c r="F70" s="234" t="s">
        <v>826</v>
      </c>
      <c r="G70" s="234" t="s">
        <v>61</v>
      </c>
      <c r="H70" s="234"/>
      <c r="I70" s="234" t="s">
        <v>852</v>
      </c>
      <c r="J70" s="234"/>
      <c r="K70" s="236"/>
      <c r="L70" s="236"/>
    </row>
    <row r="71" spans="1:12" ht="17.649999999999999">
      <c r="A71" s="234" t="s">
        <v>856</v>
      </c>
      <c r="B71" s="234"/>
      <c r="C71" s="234" t="s">
        <v>61</v>
      </c>
      <c r="D71" s="234" t="s">
        <v>855</v>
      </c>
      <c r="E71" s="234" t="s">
        <v>61</v>
      </c>
      <c r="F71" s="234" t="s">
        <v>826</v>
      </c>
      <c r="G71" s="234" t="s">
        <v>61</v>
      </c>
      <c r="H71" s="234"/>
      <c r="I71" s="234" t="s">
        <v>852</v>
      </c>
      <c r="J71" s="234"/>
      <c r="K71" s="236"/>
      <c r="L71" s="236"/>
    </row>
    <row r="72" spans="1:12" ht="17.649999999999999">
      <c r="A72" s="234" t="s">
        <v>856</v>
      </c>
      <c r="B72" s="234"/>
      <c r="C72" s="234" t="s">
        <v>61</v>
      </c>
      <c r="D72" s="234" t="s">
        <v>855</v>
      </c>
      <c r="E72" s="234" t="s">
        <v>61</v>
      </c>
      <c r="F72" s="234" t="s">
        <v>826</v>
      </c>
      <c r="G72" s="234" t="s">
        <v>61</v>
      </c>
      <c r="H72" s="234"/>
      <c r="I72" s="234" t="s">
        <v>852</v>
      </c>
      <c r="J72" s="234"/>
      <c r="K72" s="236"/>
      <c r="L72" s="236"/>
    </row>
    <row r="73" spans="1:12" ht="17.649999999999999">
      <c r="A73" s="234" t="s">
        <v>856</v>
      </c>
      <c r="B73" s="234"/>
      <c r="C73" s="234" t="s">
        <v>61</v>
      </c>
      <c r="D73" s="234" t="s">
        <v>855</v>
      </c>
      <c r="E73" s="234" t="s">
        <v>61</v>
      </c>
      <c r="F73" s="234" t="s">
        <v>826</v>
      </c>
      <c r="G73" s="234" t="s">
        <v>61</v>
      </c>
      <c r="H73" s="234"/>
      <c r="I73" s="234" t="s">
        <v>852</v>
      </c>
      <c r="J73" s="234"/>
      <c r="K73" s="236"/>
      <c r="L73" s="236"/>
    </row>
    <row r="74" spans="1:12" ht="17.649999999999999">
      <c r="A74" s="234" t="s">
        <v>856</v>
      </c>
      <c r="B74" s="234"/>
      <c r="C74" s="234" t="s">
        <v>61</v>
      </c>
      <c r="D74" s="234" t="s">
        <v>855</v>
      </c>
      <c r="E74" s="234" t="s">
        <v>61</v>
      </c>
      <c r="F74" s="234" t="s">
        <v>826</v>
      </c>
      <c r="G74" s="234" t="s">
        <v>61</v>
      </c>
      <c r="H74" s="234"/>
      <c r="I74" s="234" t="s">
        <v>852</v>
      </c>
      <c r="J74" s="234"/>
      <c r="K74" s="236"/>
      <c r="L74" s="236"/>
    </row>
    <row r="75" spans="1:12" ht="17.649999999999999">
      <c r="A75" s="234" t="s">
        <v>856</v>
      </c>
      <c r="B75" s="234"/>
      <c r="C75" s="234" t="s">
        <v>61</v>
      </c>
      <c r="D75" s="234" t="s">
        <v>855</v>
      </c>
      <c r="E75" s="234" t="s">
        <v>61</v>
      </c>
      <c r="F75" s="234" t="s">
        <v>826</v>
      </c>
      <c r="G75" s="234" t="s">
        <v>61</v>
      </c>
      <c r="H75" s="234"/>
      <c r="I75" s="234" t="s">
        <v>852</v>
      </c>
      <c r="J75" s="234"/>
      <c r="K75" s="236"/>
      <c r="L75" s="236"/>
    </row>
    <row r="76" spans="1:12" ht="17.649999999999999">
      <c r="A76" s="234" t="s">
        <v>856</v>
      </c>
      <c r="B76" s="234"/>
      <c r="C76" s="234" t="s">
        <v>61</v>
      </c>
      <c r="D76" s="234" t="s">
        <v>855</v>
      </c>
      <c r="E76" s="234" t="s">
        <v>61</v>
      </c>
      <c r="F76" s="234" t="s">
        <v>826</v>
      </c>
      <c r="G76" s="234" t="s">
        <v>61</v>
      </c>
      <c r="H76" s="234"/>
      <c r="I76" s="234" t="s">
        <v>852</v>
      </c>
      <c r="J76" s="234"/>
      <c r="K76" s="236"/>
      <c r="L76" s="236"/>
    </row>
    <row r="77" spans="1:12" ht="17.649999999999999">
      <c r="A77" s="234" t="s">
        <v>856</v>
      </c>
      <c r="B77" s="234"/>
      <c r="C77" s="234" t="s">
        <v>61</v>
      </c>
      <c r="D77" s="234" t="s">
        <v>855</v>
      </c>
      <c r="E77" s="234" t="s">
        <v>61</v>
      </c>
      <c r="F77" s="234" t="s">
        <v>826</v>
      </c>
      <c r="G77" s="234" t="s">
        <v>61</v>
      </c>
      <c r="H77" s="234"/>
      <c r="I77" s="234" t="s">
        <v>852</v>
      </c>
      <c r="J77" s="234"/>
      <c r="K77" s="236"/>
      <c r="L77" s="236"/>
    </row>
    <row r="78" spans="1:12" ht="17.649999999999999">
      <c r="A78" s="234" t="s">
        <v>856</v>
      </c>
      <c r="B78" s="234"/>
      <c r="C78" s="234" t="s">
        <v>61</v>
      </c>
      <c r="D78" s="234" t="s">
        <v>855</v>
      </c>
      <c r="E78" s="234" t="s">
        <v>61</v>
      </c>
      <c r="F78" s="234" t="s">
        <v>826</v>
      </c>
      <c r="G78" s="234" t="s">
        <v>61</v>
      </c>
      <c r="H78" s="234"/>
      <c r="I78" s="234" t="s">
        <v>852</v>
      </c>
      <c r="J78" s="234"/>
      <c r="K78" s="236"/>
      <c r="L78" s="236"/>
    </row>
    <row r="79" spans="1:12" ht="17.649999999999999">
      <c r="A79" s="234" t="s">
        <v>856</v>
      </c>
      <c r="B79" s="234"/>
      <c r="C79" s="234" t="s">
        <v>61</v>
      </c>
      <c r="D79" s="234" t="s">
        <v>855</v>
      </c>
      <c r="E79" s="234" t="s">
        <v>61</v>
      </c>
      <c r="F79" s="234" t="s">
        <v>826</v>
      </c>
      <c r="G79" s="234" t="s">
        <v>61</v>
      </c>
      <c r="H79" s="234"/>
      <c r="I79" s="234" t="s">
        <v>852</v>
      </c>
      <c r="J79" s="234"/>
      <c r="K79" s="236"/>
      <c r="L79" s="236"/>
    </row>
    <row r="80" spans="1:12" ht="17.649999999999999">
      <c r="A80" s="234" t="s">
        <v>856</v>
      </c>
      <c r="B80" s="234"/>
      <c r="C80" s="234" t="s">
        <v>61</v>
      </c>
      <c r="D80" s="234" t="s">
        <v>855</v>
      </c>
      <c r="E80" s="234" t="s">
        <v>61</v>
      </c>
      <c r="F80" s="234" t="s">
        <v>826</v>
      </c>
      <c r="G80" s="234" t="s">
        <v>61</v>
      </c>
      <c r="H80" s="234"/>
      <c r="I80" s="234" t="s">
        <v>852</v>
      </c>
      <c r="J80" s="234"/>
      <c r="K80" s="236"/>
      <c r="L80" s="236"/>
    </row>
    <row r="81" spans="1:12" ht="17.649999999999999">
      <c r="A81" s="234" t="s">
        <v>856</v>
      </c>
      <c r="B81" s="234"/>
      <c r="C81" s="234" t="s">
        <v>61</v>
      </c>
      <c r="D81" s="234" t="s">
        <v>855</v>
      </c>
      <c r="E81" s="234" t="s">
        <v>61</v>
      </c>
      <c r="F81" s="234" t="s">
        <v>826</v>
      </c>
      <c r="G81" s="234" t="s">
        <v>61</v>
      </c>
      <c r="H81" s="234"/>
      <c r="I81" s="234" t="s">
        <v>852</v>
      </c>
      <c r="J81" s="234"/>
      <c r="K81" s="236"/>
      <c r="L81" s="236"/>
    </row>
    <row r="82" spans="1:12" ht="17.649999999999999">
      <c r="A82" s="234" t="s">
        <v>856</v>
      </c>
      <c r="B82" s="234"/>
      <c r="C82" s="234" t="s">
        <v>61</v>
      </c>
      <c r="D82" s="234" t="s">
        <v>855</v>
      </c>
      <c r="E82" s="234" t="s">
        <v>61</v>
      </c>
      <c r="F82" s="234" t="s">
        <v>826</v>
      </c>
      <c r="G82" s="234" t="s">
        <v>61</v>
      </c>
      <c r="H82" s="234"/>
      <c r="I82" s="234" t="s">
        <v>852</v>
      </c>
      <c r="J82" s="234"/>
      <c r="K82" s="236"/>
      <c r="L82" s="236"/>
    </row>
    <row r="83" spans="1:12" ht="17.649999999999999">
      <c r="A83" s="234" t="s">
        <v>856</v>
      </c>
      <c r="B83" s="234"/>
      <c r="C83" s="234" t="s">
        <v>61</v>
      </c>
      <c r="D83" s="234" t="s">
        <v>855</v>
      </c>
      <c r="E83" s="234" t="s">
        <v>61</v>
      </c>
      <c r="F83" s="234" t="s">
        <v>826</v>
      </c>
      <c r="G83" s="234" t="s">
        <v>61</v>
      </c>
      <c r="H83" s="234"/>
      <c r="I83" s="234" t="s">
        <v>852</v>
      </c>
      <c r="J83" s="234"/>
      <c r="K83" s="236"/>
      <c r="L83" s="236"/>
    </row>
    <row r="84" spans="1:12" ht="17.649999999999999">
      <c r="A84" s="234" t="s">
        <v>856</v>
      </c>
      <c r="B84" s="234"/>
      <c r="C84" s="234" t="s">
        <v>61</v>
      </c>
      <c r="D84" s="234" t="s">
        <v>855</v>
      </c>
      <c r="E84" s="234" t="s">
        <v>61</v>
      </c>
      <c r="F84" s="234" t="s">
        <v>826</v>
      </c>
      <c r="G84" s="234" t="s">
        <v>61</v>
      </c>
      <c r="H84" s="234"/>
      <c r="I84" s="234" t="s">
        <v>852</v>
      </c>
      <c r="J84" s="234"/>
      <c r="K84" s="236"/>
      <c r="L84" s="236"/>
    </row>
    <row r="85" spans="1:12" ht="17.649999999999999">
      <c r="A85" s="234" t="s">
        <v>856</v>
      </c>
      <c r="B85" s="234"/>
      <c r="C85" s="234" t="s">
        <v>61</v>
      </c>
      <c r="D85" s="234" t="s">
        <v>855</v>
      </c>
      <c r="E85" s="234" t="s">
        <v>61</v>
      </c>
      <c r="F85" s="234" t="s">
        <v>826</v>
      </c>
      <c r="G85" s="234" t="s">
        <v>61</v>
      </c>
      <c r="H85" s="234"/>
      <c r="I85" s="234" t="s">
        <v>852</v>
      </c>
      <c r="J85" s="234"/>
      <c r="K85" s="236"/>
      <c r="L85" s="236"/>
    </row>
    <row r="86" spans="1:12" ht="17.649999999999999">
      <c r="A86" s="234" t="s">
        <v>856</v>
      </c>
      <c r="B86" s="234"/>
      <c r="C86" s="234" t="s">
        <v>61</v>
      </c>
      <c r="D86" s="234" t="s">
        <v>855</v>
      </c>
      <c r="E86" s="234" t="s">
        <v>61</v>
      </c>
      <c r="F86" s="234" t="s">
        <v>826</v>
      </c>
      <c r="G86" s="234" t="s">
        <v>61</v>
      </c>
      <c r="H86" s="234"/>
      <c r="I86" s="234" t="s">
        <v>852</v>
      </c>
      <c r="J86" s="234"/>
      <c r="K86" s="236"/>
      <c r="L86" s="236"/>
    </row>
    <row r="87" spans="1:12" ht="17.649999999999999">
      <c r="A87" s="234" t="s">
        <v>856</v>
      </c>
      <c r="B87" s="234"/>
      <c r="C87" s="234" t="s">
        <v>61</v>
      </c>
      <c r="D87" s="234" t="s">
        <v>855</v>
      </c>
      <c r="E87" s="234" t="s">
        <v>61</v>
      </c>
      <c r="F87" s="234" t="s">
        <v>826</v>
      </c>
      <c r="G87" s="234" t="s">
        <v>61</v>
      </c>
      <c r="H87" s="234"/>
      <c r="I87" s="234" t="s">
        <v>852</v>
      </c>
      <c r="J87" s="234"/>
      <c r="K87" s="236"/>
      <c r="L87" s="236"/>
    </row>
    <row r="88" spans="1:12" ht="17.649999999999999">
      <c r="A88" s="234" t="s">
        <v>856</v>
      </c>
      <c r="B88" s="234"/>
      <c r="C88" s="234" t="s">
        <v>61</v>
      </c>
      <c r="D88" s="234" t="s">
        <v>855</v>
      </c>
      <c r="E88" s="234" t="s">
        <v>61</v>
      </c>
      <c r="F88" s="234" t="s">
        <v>826</v>
      </c>
      <c r="G88" s="234" t="s">
        <v>61</v>
      </c>
      <c r="H88" s="234"/>
      <c r="I88" s="234" t="s">
        <v>852</v>
      </c>
      <c r="J88" s="234"/>
      <c r="K88" s="236"/>
      <c r="L88" s="236"/>
    </row>
    <row r="89" spans="1:12" ht="17.649999999999999">
      <c r="A89" s="234" t="s">
        <v>856</v>
      </c>
      <c r="B89" s="234"/>
      <c r="C89" s="234" t="s">
        <v>61</v>
      </c>
      <c r="D89" s="234" t="s">
        <v>855</v>
      </c>
      <c r="E89" s="234" t="s">
        <v>61</v>
      </c>
      <c r="F89" s="234" t="s">
        <v>826</v>
      </c>
      <c r="G89" s="234" t="s">
        <v>61</v>
      </c>
      <c r="H89" s="234"/>
      <c r="I89" s="234" t="s">
        <v>852</v>
      </c>
      <c r="J89" s="234"/>
      <c r="K89" s="236"/>
      <c r="L89" s="236"/>
    </row>
    <row r="90" spans="1:12" ht="17.649999999999999">
      <c r="A90" s="234" t="s">
        <v>856</v>
      </c>
      <c r="B90" s="234"/>
      <c r="C90" s="234" t="s">
        <v>61</v>
      </c>
      <c r="D90" s="234" t="s">
        <v>855</v>
      </c>
      <c r="E90" s="234" t="s">
        <v>61</v>
      </c>
      <c r="F90" s="234" t="s">
        <v>826</v>
      </c>
      <c r="G90" s="234" t="s">
        <v>61</v>
      </c>
      <c r="H90" s="234"/>
      <c r="I90" s="234" t="s">
        <v>852</v>
      </c>
      <c r="J90" s="234"/>
      <c r="K90" s="236"/>
      <c r="L90" s="236"/>
    </row>
    <row r="91" spans="1:12" ht="17.649999999999999">
      <c r="A91" s="234" t="s">
        <v>856</v>
      </c>
      <c r="B91" s="234"/>
      <c r="C91" s="234" t="s">
        <v>61</v>
      </c>
      <c r="D91" s="234" t="s">
        <v>855</v>
      </c>
      <c r="E91" s="234" t="s">
        <v>61</v>
      </c>
      <c r="F91" s="234" t="s">
        <v>826</v>
      </c>
      <c r="G91" s="234" t="s">
        <v>61</v>
      </c>
      <c r="H91" s="234"/>
      <c r="I91" s="234" t="s">
        <v>852</v>
      </c>
      <c r="J91" s="234"/>
      <c r="K91" s="236"/>
      <c r="L91" s="236"/>
    </row>
    <row r="92" spans="1:12" ht="17.649999999999999">
      <c r="A92" s="234" t="s">
        <v>856</v>
      </c>
      <c r="B92" s="234"/>
      <c r="C92" s="234" t="s">
        <v>61</v>
      </c>
      <c r="D92" s="234" t="s">
        <v>855</v>
      </c>
      <c r="E92" s="234" t="s">
        <v>61</v>
      </c>
      <c r="F92" s="234" t="s">
        <v>826</v>
      </c>
      <c r="G92" s="234" t="s">
        <v>61</v>
      </c>
      <c r="H92" s="234"/>
      <c r="I92" s="234" t="s">
        <v>852</v>
      </c>
      <c r="J92" s="234"/>
      <c r="K92" s="236"/>
      <c r="L92" s="236"/>
    </row>
    <row r="93" spans="1:12" ht="17.649999999999999">
      <c r="A93" s="234" t="s">
        <v>856</v>
      </c>
      <c r="B93" s="234"/>
      <c r="C93" s="234" t="s">
        <v>61</v>
      </c>
      <c r="D93" s="234" t="s">
        <v>855</v>
      </c>
      <c r="E93" s="234" t="s">
        <v>61</v>
      </c>
      <c r="F93" s="234" t="s">
        <v>826</v>
      </c>
      <c r="G93" s="234" t="s">
        <v>61</v>
      </c>
      <c r="H93" s="234"/>
      <c r="I93" s="234" t="s">
        <v>852</v>
      </c>
      <c r="J93" s="234"/>
      <c r="K93" s="236"/>
      <c r="L93" s="236"/>
    </row>
    <row r="94" spans="1:12" ht="17.649999999999999">
      <c r="A94" s="234" t="s">
        <v>856</v>
      </c>
      <c r="B94" s="234"/>
      <c r="C94" s="234" t="s">
        <v>61</v>
      </c>
      <c r="D94" s="234" t="s">
        <v>855</v>
      </c>
      <c r="E94" s="234" t="s">
        <v>61</v>
      </c>
      <c r="F94" s="234" t="s">
        <v>826</v>
      </c>
      <c r="G94" s="234" t="s">
        <v>61</v>
      </c>
      <c r="H94" s="234"/>
      <c r="I94" s="234" t="s">
        <v>852</v>
      </c>
      <c r="J94" s="234"/>
      <c r="K94" s="236"/>
      <c r="L94" s="236"/>
    </row>
    <row r="95" spans="1:12" ht="17.649999999999999">
      <c r="A95" s="234" t="s">
        <v>856</v>
      </c>
      <c r="B95" s="234"/>
      <c r="C95" s="234" t="s">
        <v>61</v>
      </c>
      <c r="D95" s="234" t="s">
        <v>855</v>
      </c>
      <c r="E95" s="234" t="s">
        <v>61</v>
      </c>
      <c r="F95" s="234" t="s">
        <v>826</v>
      </c>
      <c r="G95" s="234" t="s">
        <v>61</v>
      </c>
      <c r="H95" s="234"/>
      <c r="I95" s="234" t="s">
        <v>852</v>
      </c>
      <c r="J95" s="234"/>
      <c r="K95" s="236"/>
      <c r="L95" s="236"/>
    </row>
    <row r="96" spans="1:12" ht="17.649999999999999">
      <c r="A96" s="234" t="s">
        <v>856</v>
      </c>
      <c r="B96" s="234"/>
      <c r="C96" s="234" t="s">
        <v>61</v>
      </c>
      <c r="D96" s="234" t="s">
        <v>855</v>
      </c>
      <c r="E96" s="234" t="s">
        <v>61</v>
      </c>
      <c r="F96" s="234" t="s">
        <v>826</v>
      </c>
      <c r="G96" s="234" t="s">
        <v>61</v>
      </c>
      <c r="H96" s="234"/>
      <c r="I96" s="234" t="s">
        <v>852</v>
      </c>
      <c r="J96" s="234"/>
      <c r="K96" s="236"/>
      <c r="L96" s="236"/>
    </row>
    <row r="97" spans="1:12" ht="17.649999999999999">
      <c r="A97" s="234" t="s">
        <v>856</v>
      </c>
      <c r="B97" s="234"/>
      <c r="C97" s="234" t="s">
        <v>61</v>
      </c>
      <c r="D97" s="234" t="s">
        <v>855</v>
      </c>
      <c r="E97" s="234" t="s">
        <v>61</v>
      </c>
      <c r="F97" s="234" t="s">
        <v>826</v>
      </c>
      <c r="G97" s="234" t="s">
        <v>61</v>
      </c>
      <c r="H97" s="234"/>
      <c r="I97" s="234" t="s">
        <v>852</v>
      </c>
      <c r="J97" s="234"/>
      <c r="K97" s="236"/>
      <c r="L97" s="236"/>
    </row>
    <row r="98" spans="1:12" ht="17.649999999999999">
      <c r="A98" s="234" t="s">
        <v>856</v>
      </c>
      <c r="B98" s="234"/>
      <c r="C98" s="234" t="s">
        <v>61</v>
      </c>
      <c r="D98" s="234" t="s">
        <v>855</v>
      </c>
      <c r="E98" s="234" t="s">
        <v>61</v>
      </c>
      <c r="F98" s="234" t="s">
        <v>826</v>
      </c>
      <c r="G98" s="234" t="s">
        <v>61</v>
      </c>
      <c r="H98" s="234"/>
      <c r="I98" s="234" t="s">
        <v>852</v>
      </c>
      <c r="J98" s="234"/>
      <c r="K98" s="236"/>
      <c r="L98" s="236"/>
    </row>
    <row r="99" spans="1:12" ht="17.649999999999999">
      <c r="A99" s="234" t="s">
        <v>856</v>
      </c>
      <c r="B99" s="234"/>
      <c r="C99" s="234" t="s">
        <v>61</v>
      </c>
      <c r="D99" s="234" t="s">
        <v>855</v>
      </c>
      <c r="E99" s="234" t="s">
        <v>61</v>
      </c>
      <c r="F99" s="234" t="s">
        <v>826</v>
      </c>
      <c r="G99" s="234" t="s">
        <v>61</v>
      </c>
      <c r="H99" s="234"/>
      <c r="I99" s="234" t="s">
        <v>852</v>
      </c>
      <c r="J99" s="234"/>
      <c r="K99" s="236"/>
      <c r="L99" s="236"/>
    </row>
    <row r="100" spans="1:12" ht="17.649999999999999">
      <c r="A100" s="234" t="s">
        <v>856</v>
      </c>
      <c r="B100" s="234"/>
      <c r="C100" s="234" t="s">
        <v>61</v>
      </c>
      <c r="D100" s="234" t="s">
        <v>855</v>
      </c>
      <c r="E100" s="234" t="s">
        <v>61</v>
      </c>
      <c r="F100" s="234" t="s">
        <v>826</v>
      </c>
      <c r="G100" s="234" t="s">
        <v>61</v>
      </c>
      <c r="H100" s="234"/>
      <c r="I100" s="234" t="s">
        <v>852</v>
      </c>
      <c r="J100" s="234"/>
      <c r="K100" s="236"/>
      <c r="L100" s="236"/>
    </row>
  </sheetData>
  <sheetProtection algorithmName="SHA-512" hashValue="sQbwqGB8s0nrlDavncocwQPUsdP+fg80ue0U+tiUo8jOAUVf8cAVXls7ANHGzLFBXD4G/joFCA3Y3XNFhhz3Ng==" saltValue="SyNJuJnYBSsVsBZ6XRiwfA==" spinCount="100000" sheet="1" objects="1" scenarios="1"/>
  <mergeCells count="1">
    <mergeCell ref="E2:G2"/>
  </mergeCells>
  <phoneticPr fontId="1"/>
  <dataValidations count="7">
    <dataValidation type="list" showInputMessage="1" showErrorMessage="1" sqref="G7:G100" xr:uid="{7F4B6ACF-0BB0-4CB8-9E17-34A598787795}">
      <formula1>IF(A7&lt;&gt;"副代表者/Deputy Representative",$S$2:$S$4,$S$2:$S$2)</formula1>
    </dataValidation>
    <dataValidation type="list" errorStyle="information" allowBlank="1" showInputMessage="1" sqref="H6:H100" xr:uid="{08888988-CA7E-46DC-B09A-13BE2E2062C8}">
      <formula1>$T$2:$T$10</formula1>
    </dataValidation>
    <dataValidation type="list" showInputMessage="1" showErrorMessage="1" sqref="F6:F100" xr:uid="{FC2A4EC0-8AC3-4529-B42D-1DBB48E70023}">
      <formula1>$R$2:$R$6</formula1>
    </dataValidation>
    <dataValidation type="list" allowBlank="1" showInputMessage="1" showErrorMessage="1" sqref="C6:C100" xr:uid="{8AB0F5AE-5B29-4854-9FEB-6641F514B847}">
      <formula1>$P$2:$P$3</formula1>
    </dataValidation>
    <dataValidation type="list" showInputMessage="1" showErrorMessage="1" sqref="E6:E100" xr:uid="{BF0A5836-D21A-4BE9-9CA6-C766A6B9201F}">
      <formula1>$Q$2:$Q$4</formula1>
    </dataValidation>
    <dataValidation type="textLength" operator="equal" allowBlank="1" showInputMessage="1" showErrorMessage="1" error="5桁で入力してください" sqref="L6:L100" xr:uid="{541C6AC9-9133-4457-A88B-F35FCA5717C9}">
      <formula1>5</formula1>
    </dataValidation>
    <dataValidation type="list" allowBlank="1" showInputMessage="1" showErrorMessage="1" sqref="A7:A100" xr:uid="{B6B56773-0030-40AC-A67F-9D15AC96D53E}">
      <formula1>"副代表者/Deputy Representative,共同研究者/Researcher"</formula1>
    </dataValidation>
  </dataValidations>
  <pageMargins left="0.51181102362204722" right="0.31496062992125984" top="0.55118110236220474" bottom="0.55118110236220474" header="0.31496062992125984" footer="0.31496062992125984"/>
  <pageSetup paperSize="9" scale="53" fitToHeight="2"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BF94F-11CF-4E96-A6FC-B09EC9E6AC29}">
  <sheetPr>
    <pageSetUpPr fitToPage="1"/>
  </sheetPr>
  <dimension ref="A1:U100"/>
  <sheetViews>
    <sheetView zoomScale="80" zoomScaleNormal="80" workbookViewId="0">
      <selection activeCell="H25" sqref="H25"/>
    </sheetView>
  </sheetViews>
  <sheetFormatPr defaultColWidth="9" defaultRowHeight="18.75" customHeight="1"/>
  <cols>
    <col min="1" max="1" width="26.625" style="1" customWidth="1"/>
    <col min="2" max="2" width="12.5" style="1" customWidth="1"/>
    <col min="3" max="3" width="12.625" style="1" customWidth="1"/>
    <col min="4" max="4" width="12.125" style="1" customWidth="1"/>
    <col min="5" max="5" width="9.5" style="1" customWidth="1"/>
    <col min="6" max="7" width="10.625" style="1" customWidth="1"/>
    <col min="8" max="8" width="43.125" style="1" customWidth="1"/>
    <col min="9" max="9" width="16.625" style="1" customWidth="1"/>
    <col min="10" max="10" width="19.125" style="1" customWidth="1"/>
    <col min="11" max="11" width="18.125" style="1" customWidth="1"/>
    <col min="12" max="12" width="32.125" style="1" customWidth="1"/>
    <col min="13" max="13" width="3.125" style="1" customWidth="1"/>
    <col min="14" max="14" width="10.125" style="1" hidden="1" customWidth="1"/>
    <col min="15" max="15" width="11.5" style="1" hidden="1" customWidth="1"/>
    <col min="16" max="16" width="12.125" style="1" hidden="1" customWidth="1"/>
    <col min="17" max="17" width="11.625" style="1" hidden="1" customWidth="1"/>
    <col min="18" max="18" width="12.625" style="1" hidden="1" customWidth="1"/>
    <col min="19" max="19" width="16.625" style="1" hidden="1" customWidth="1"/>
    <col min="20" max="20" width="47.625" style="1" hidden="1" customWidth="1"/>
    <col min="21" max="21" width="0" style="1" hidden="1" customWidth="1"/>
    <col min="22" max="16384" width="9" style="1"/>
  </cols>
  <sheetData>
    <row r="1" spans="1:21" ht="19.899999999999999">
      <c r="A1" s="1" t="s">
        <v>822</v>
      </c>
      <c r="H1" s="439" t="s">
        <v>36</v>
      </c>
      <c r="J1" s="287"/>
      <c r="N1" s="79" t="s">
        <v>823</v>
      </c>
    </row>
    <row r="2" spans="1:21" ht="33" customHeight="1">
      <c r="A2" s="9" t="s">
        <v>824</v>
      </c>
      <c r="B2" s="6"/>
      <c r="C2" s="6"/>
      <c r="D2" s="6"/>
      <c r="E2" s="664"/>
      <c r="F2" s="665"/>
      <c r="G2" s="666"/>
      <c r="H2" s="286" t="str">
        <f>IF(COUNTIFS(B6:B101,"&lt;&gt;",F6:F101,"(選択下さい)")+COUNTIFS(B6:B101,"&lt;&gt;",J6:J101,"")+COUNTIFS(B6:B101,"&lt;&gt;",L6:L101,"")&gt;0,"F/J/L列の入力漏れが多くなっています。F/J/L列の入力は必須です。 /　Columns F/J/L are often missing. Columns F/J/L are mandatory.","")</f>
        <v/>
      </c>
      <c r="I2" s="6"/>
      <c r="J2" s="6"/>
      <c r="K2" s="6"/>
      <c r="L2" s="6"/>
      <c r="O2" s="210" t="s">
        <v>825</v>
      </c>
      <c r="P2" s="210" t="s">
        <v>61</v>
      </c>
      <c r="Q2" s="210" t="s">
        <v>61</v>
      </c>
      <c r="R2" s="211" t="s">
        <v>826</v>
      </c>
      <c r="S2" s="212" t="s">
        <v>61</v>
      </c>
      <c r="T2" s="284" t="s">
        <v>249</v>
      </c>
    </row>
    <row r="3" spans="1:21" ht="16.5" customHeight="1">
      <c r="A3" s="209" t="s">
        <v>827</v>
      </c>
      <c r="B3" s="7"/>
      <c r="C3" s="7"/>
      <c r="D3" s="7"/>
      <c r="E3" s="7"/>
      <c r="F3" s="7"/>
      <c r="G3" s="8"/>
      <c r="H3" s="7"/>
      <c r="I3" s="7"/>
      <c r="J3" s="7"/>
      <c r="K3" s="7"/>
      <c r="L3" s="7"/>
      <c r="O3" s="210" t="s">
        <v>828</v>
      </c>
      <c r="P3" s="210" t="s">
        <v>829</v>
      </c>
      <c r="Q3" s="212" t="s">
        <v>830</v>
      </c>
      <c r="R3" s="210" t="s">
        <v>831</v>
      </c>
      <c r="S3" s="283" t="s">
        <v>832</v>
      </c>
      <c r="T3" s="284" t="s">
        <v>256</v>
      </c>
    </row>
    <row r="4" spans="1:21" ht="16.5" customHeight="1">
      <c r="A4" s="8" t="s">
        <v>833</v>
      </c>
      <c r="B4" s="7"/>
      <c r="C4" s="7"/>
      <c r="D4" s="24"/>
      <c r="E4" s="7"/>
      <c r="F4" s="7"/>
      <c r="G4" s="8"/>
      <c r="H4" s="7"/>
      <c r="I4" s="7"/>
      <c r="J4" s="7"/>
      <c r="K4" s="7"/>
      <c r="L4" s="7"/>
      <c r="O4" s="213"/>
      <c r="P4" s="213"/>
      <c r="Q4" s="214" t="s">
        <v>834</v>
      </c>
      <c r="R4" s="208" t="s">
        <v>835</v>
      </c>
      <c r="S4" s="1" t="s">
        <v>836</v>
      </c>
      <c r="T4" s="284" t="s">
        <v>261</v>
      </c>
    </row>
    <row r="5" spans="1:21" ht="82.5" customHeight="1">
      <c r="A5" s="207" t="s">
        <v>837</v>
      </c>
      <c r="B5" s="207" t="s">
        <v>838</v>
      </c>
      <c r="C5" s="207" t="s">
        <v>839</v>
      </c>
      <c r="D5" s="207" t="s">
        <v>840</v>
      </c>
      <c r="E5" s="207" t="s">
        <v>841</v>
      </c>
      <c r="F5" s="207" t="s">
        <v>842</v>
      </c>
      <c r="G5" s="207" t="s">
        <v>843</v>
      </c>
      <c r="H5" s="207" t="s">
        <v>844</v>
      </c>
      <c r="I5" s="455" t="s">
        <v>845</v>
      </c>
      <c r="J5" s="207" t="s">
        <v>846</v>
      </c>
      <c r="K5" s="207" t="s">
        <v>847</v>
      </c>
      <c r="L5" s="207" t="s">
        <v>848</v>
      </c>
      <c r="M5" s="5"/>
      <c r="N5" s="5"/>
      <c r="O5" s="216"/>
      <c r="P5" s="216"/>
      <c r="Q5" s="216"/>
      <c r="R5" s="210" t="s">
        <v>849</v>
      </c>
      <c r="S5" s="1" t="s">
        <v>34</v>
      </c>
      <c r="T5" s="284" t="s">
        <v>265</v>
      </c>
      <c r="U5" s="3"/>
    </row>
    <row r="6" spans="1:21" ht="17.25" customHeight="1">
      <c r="A6" s="208" t="s">
        <v>850</v>
      </c>
      <c r="B6" s="234" t="s">
        <v>1095</v>
      </c>
      <c r="C6" s="234" t="s">
        <v>61</v>
      </c>
      <c r="D6" s="234" t="s">
        <v>851</v>
      </c>
      <c r="E6" s="234" t="s">
        <v>61</v>
      </c>
      <c r="F6" s="234" t="s">
        <v>831</v>
      </c>
      <c r="G6" s="235"/>
      <c r="H6" s="234" t="s">
        <v>1093</v>
      </c>
      <c r="I6" s="234" t="s">
        <v>852</v>
      </c>
      <c r="J6" s="234" t="s">
        <v>1135</v>
      </c>
      <c r="K6" s="236" t="s">
        <v>1113</v>
      </c>
      <c r="L6" s="236" t="s">
        <v>1114</v>
      </c>
      <c r="O6" s="216"/>
      <c r="P6" s="216"/>
      <c r="Q6" s="216"/>
      <c r="R6" s="210" t="s">
        <v>853</v>
      </c>
      <c r="S6" s="1" t="s">
        <v>34</v>
      </c>
      <c r="T6" s="284" t="s">
        <v>269</v>
      </c>
    </row>
    <row r="7" spans="1:21" ht="17.25" customHeight="1">
      <c r="A7" s="234" t="s">
        <v>854</v>
      </c>
      <c r="B7" s="234" t="s">
        <v>1136</v>
      </c>
      <c r="C7" s="234" t="s">
        <v>61</v>
      </c>
      <c r="D7" s="234" t="s">
        <v>855</v>
      </c>
      <c r="E7" s="234" t="s">
        <v>61</v>
      </c>
      <c r="F7" s="234" t="s">
        <v>831</v>
      </c>
      <c r="G7" s="234" t="s">
        <v>61</v>
      </c>
      <c r="H7" s="234" t="s">
        <v>1116</v>
      </c>
      <c r="I7" s="234" t="s">
        <v>852</v>
      </c>
      <c r="J7" s="234" t="s">
        <v>1137</v>
      </c>
      <c r="K7" s="236" t="s">
        <v>1118</v>
      </c>
      <c r="L7" s="236" t="s">
        <v>1119</v>
      </c>
      <c r="T7" s="284" t="s">
        <v>276</v>
      </c>
    </row>
    <row r="8" spans="1:21" ht="17.25" customHeight="1">
      <c r="A8" s="234" t="s">
        <v>856</v>
      </c>
      <c r="B8" s="234" t="s">
        <v>1138</v>
      </c>
      <c r="C8" s="234" t="s">
        <v>61</v>
      </c>
      <c r="D8" s="234" t="s">
        <v>855</v>
      </c>
      <c r="E8" s="234" t="s">
        <v>61</v>
      </c>
      <c r="F8" s="234" t="s">
        <v>835</v>
      </c>
      <c r="G8" s="234" t="s">
        <v>61</v>
      </c>
      <c r="H8" s="234" t="s">
        <v>1093</v>
      </c>
      <c r="I8" s="234" t="s">
        <v>852</v>
      </c>
      <c r="J8" s="234" t="s">
        <v>1139</v>
      </c>
      <c r="K8" s="236" t="s">
        <v>1122</v>
      </c>
      <c r="L8" s="236" t="s">
        <v>1123</v>
      </c>
      <c r="S8" s="1" t="s">
        <v>34</v>
      </c>
      <c r="T8" s="284" t="s">
        <v>280</v>
      </c>
    </row>
    <row r="9" spans="1:21" ht="17.25" customHeight="1">
      <c r="A9" s="234" t="s">
        <v>856</v>
      </c>
      <c r="B9" s="234" t="s">
        <v>1140</v>
      </c>
      <c r="C9" s="234" t="s">
        <v>61</v>
      </c>
      <c r="D9" s="234" t="s">
        <v>855</v>
      </c>
      <c r="E9" s="234" t="s">
        <v>61</v>
      </c>
      <c r="F9" s="234" t="s">
        <v>831</v>
      </c>
      <c r="G9" s="234" t="s">
        <v>61</v>
      </c>
      <c r="H9" s="234" t="s">
        <v>1125</v>
      </c>
      <c r="I9" s="234" t="s">
        <v>852</v>
      </c>
      <c r="J9" s="234" t="s">
        <v>1141</v>
      </c>
      <c r="K9" s="236" t="s">
        <v>1127</v>
      </c>
      <c r="L9" s="236" t="s">
        <v>1128</v>
      </c>
      <c r="T9" s="284" t="s">
        <v>284</v>
      </c>
    </row>
    <row r="10" spans="1:21" ht="17.649999999999999">
      <c r="A10" s="234" t="s">
        <v>856</v>
      </c>
      <c r="B10" s="234" t="s">
        <v>1142</v>
      </c>
      <c r="C10" s="234" t="s">
        <v>61</v>
      </c>
      <c r="D10" s="234" t="s">
        <v>855</v>
      </c>
      <c r="E10" s="234" t="s">
        <v>830</v>
      </c>
      <c r="F10" s="234" t="s">
        <v>835</v>
      </c>
      <c r="G10" s="234" t="s">
        <v>1130</v>
      </c>
      <c r="H10" s="234" t="s">
        <v>1143</v>
      </c>
      <c r="I10" s="234" t="s">
        <v>852</v>
      </c>
      <c r="J10" s="234" t="s">
        <v>1141</v>
      </c>
      <c r="K10" s="236" t="s">
        <v>1132</v>
      </c>
      <c r="L10" s="236" t="s">
        <v>1133</v>
      </c>
      <c r="T10" s="285" t="s">
        <v>857</v>
      </c>
    </row>
    <row r="11" spans="1:21" ht="17.649999999999999">
      <c r="A11" s="234" t="s">
        <v>856</v>
      </c>
      <c r="B11" s="234" t="s">
        <v>1144</v>
      </c>
      <c r="C11" s="234" t="s">
        <v>61</v>
      </c>
      <c r="D11" s="234" t="s">
        <v>855</v>
      </c>
      <c r="E11" s="234" t="s">
        <v>830</v>
      </c>
      <c r="F11" s="234" t="s">
        <v>831</v>
      </c>
      <c r="G11" s="234" t="s">
        <v>836</v>
      </c>
      <c r="H11" s="234" t="s">
        <v>1093</v>
      </c>
      <c r="I11" s="234" t="s">
        <v>852</v>
      </c>
      <c r="J11" s="234" t="s">
        <v>1141</v>
      </c>
      <c r="K11" s="236" t="s">
        <v>1132</v>
      </c>
      <c r="L11" s="236" t="s">
        <v>1133</v>
      </c>
    </row>
    <row r="12" spans="1:21" ht="17.649999999999999">
      <c r="A12" s="234" t="s">
        <v>856</v>
      </c>
      <c r="B12" s="234"/>
      <c r="C12" s="234" t="s">
        <v>61</v>
      </c>
      <c r="D12" s="234" t="s">
        <v>855</v>
      </c>
      <c r="E12" s="234" t="s">
        <v>61</v>
      </c>
      <c r="F12" s="234" t="s">
        <v>826</v>
      </c>
      <c r="G12" s="234" t="s">
        <v>61</v>
      </c>
      <c r="H12" s="234"/>
      <c r="I12" s="234" t="s">
        <v>852</v>
      </c>
      <c r="J12" s="234"/>
      <c r="K12" s="236"/>
      <c r="L12" s="236"/>
    </row>
    <row r="13" spans="1:21" ht="17.649999999999999">
      <c r="A13" s="234" t="s">
        <v>856</v>
      </c>
      <c r="B13" s="234"/>
      <c r="C13" s="234" t="s">
        <v>61</v>
      </c>
      <c r="D13" s="234" t="s">
        <v>855</v>
      </c>
      <c r="E13" s="234" t="s">
        <v>61</v>
      </c>
      <c r="F13" s="234" t="s">
        <v>826</v>
      </c>
      <c r="G13" s="234" t="s">
        <v>61</v>
      </c>
      <c r="H13" s="234"/>
      <c r="I13" s="234" t="s">
        <v>852</v>
      </c>
      <c r="J13" s="234"/>
      <c r="K13" s="236"/>
      <c r="L13" s="236"/>
      <c r="T13" s="40"/>
    </row>
    <row r="14" spans="1:21" ht="17.649999999999999">
      <c r="A14" s="234" t="s">
        <v>856</v>
      </c>
      <c r="B14" s="234"/>
      <c r="C14" s="234" t="s">
        <v>61</v>
      </c>
      <c r="D14" s="234" t="s">
        <v>855</v>
      </c>
      <c r="E14" s="234" t="s">
        <v>61</v>
      </c>
      <c r="F14" s="234" t="s">
        <v>826</v>
      </c>
      <c r="G14" s="234" t="s">
        <v>61</v>
      </c>
      <c r="H14" s="234"/>
      <c r="I14" s="234" t="s">
        <v>852</v>
      </c>
      <c r="J14" s="234"/>
      <c r="K14" s="236"/>
      <c r="L14" s="236"/>
      <c r="T14" s="40"/>
    </row>
    <row r="15" spans="1:21" ht="17.649999999999999">
      <c r="A15" s="234" t="s">
        <v>856</v>
      </c>
      <c r="B15" s="234"/>
      <c r="C15" s="234" t="s">
        <v>61</v>
      </c>
      <c r="D15" s="234" t="s">
        <v>855</v>
      </c>
      <c r="E15" s="234" t="s">
        <v>61</v>
      </c>
      <c r="F15" s="234" t="s">
        <v>826</v>
      </c>
      <c r="G15" s="234" t="s">
        <v>61</v>
      </c>
      <c r="H15" s="234"/>
      <c r="I15" s="234" t="s">
        <v>852</v>
      </c>
      <c r="J15" s="234"/>
      <c r="K15" s="236"/>
      <c r="L15" s="236"/>
      <c r="T15" s="40"/>
    </row>
    <row r="16" spans="1:21" ht="17.649999999999999">
      <c r="A16" s="234" t="s">
        <v>856</v>
      </c>
      <c r="B16" s="234"/>
      <c r="C16" s="234" t="s">
        <v>61</v>
      </c>
      <c r="D16" s="234" t="s">
        <v>855</v>
      </c>
      <c r="E16" s="234" t="s">
        <v>61</v>
      </c>
      <c r="F16" s="234" t="s">
        <v>826</v>
      </c>
      <c r="G16" s="234" t="s">
        <v>61</v>
      </c>
      <c r="H16" s="234"/>
      <c r="I16" s="234" t="s">
        <v>852</v>
      </c>
      <c r="J16" s="234"/>
      <c r="K16" s="236"/>
      <c r="L16" s="236"/>
      <c r="T16" s="40"/>
    </row>
    <row r="17" spans="1:20" ht="17.649999999999999">
      <c r="A17" s="234" t="s">
        <v>856</v>
      </c>
      <c r="B17" s="234"/>
      <c r="C17" s="234" t="s">
        <v>61</v>
      </c>
      <c r="D17" s="234" t="s">
        <v>855</v>
      </c>
      <c r="E17" s="234" t="s">
        <v>61</v>
      </c>
      <c r="F17" s="234" t="s">
        <v>826</v>
      </c>
      <c r="G17" s="234" t="s">
        <v>61</v>
      </c>
      <c r="H17" s="234"/>
      <c r="I17" s="234" t="s">
        <v>852</v>
      </c>
      <c r="J17" s="234"/>
      <c r="K17" s="236"/>
      <c r="L17" s="236"/>
      <c r="T17" s="40"/>
    </row>
    <row r="18" spans="1:20" ht="17.649999999999999">
      <c r="A18" s="234" t="s">
        <v>856</v>
      </c>
      <c r="B18" s="234"/>
      <c r="C18" s="234" t="s">
        <v>61</v>
      </c>
      <c r="D18" s="234" t="s">
        <v>855</v>
      </c>
      <c r="E18" s="234" t="s">
        <v>61</v>
      </c>
      <c r="F18" s="234" t="s">
        <v>826</v>
      </c>
      <c r="G18" s="234" t="s">
        <v>61</v>
      </c>
      <c r="H18" s="234"/>
      <c r="I18" s="234" t="s">
        <v>852</v>
      </c>
      <c r="J18" s="234"/>
      <c r="K18" s="236"/>
      <c r="L18" s="236"/>
    </row>
    <row r="19" spans="1:20" ht="17.649999999999999">
      <c r="A19" s="234" t="s">
        <v>856</v>
      </c>
      <c r="B19" s="234"/>
      <c r="C19" s="234" t="s">
        <v>61</v>
      </c>
      <c r="D19" s="234" t="s">
        <v>855</v>
      </c>
      <c r="E19" s="234" t="s">
        <v>61</v>
      </c>
      <c r="F19" s="234" t="s">
        <v>826</v>
      </c>
      <c r="G19" s="234" t="s">
        <v>61</v>
      </c>
      <c r="H19" s="234"/>
      <c r="I19" s="234" t="s">
        <v>852</v>
      </c>
      <c r="J19" s="234"/>
      <c r="K19" s="236"/>
      <c r="L19" s="236"/>
    </row>
    <row r="20" spans="1:20" ht="17.649999999999999">
      <c r="A20" s="234" t="s">
        <v>856</v>
      </c>
      <c r="B20" s="234"/>
      <c r="C20" s="234" t="s">
        <v>61</v>
      </c>
      <c r="D20" s="234" t="s">
        <v>855</v>
      </c>
      <c r="E20" s="234" t="s">
        <v>61</v>
      </c>
      <c r="F20" s="234" t="s">
        <v>826</v>
      </c>
      <c r="G20" s="234" t="s">
        <v>61</v>
      </c>
      <c r="H20" s="234"/>
      <c r="I20" s="234" t="s">
        <v>852</v>
      </c>
      <c r="J20" s="234"/>
      <c r="K20" s="236"/>
      <c r="L20" s="236"/>
    </row>
    <row r="21" spans="1:20" ht="17.649999999999999">
      <c r="A21" s="234" t="s">
        <v>856</v>
      </c>
      <c r="B21" s="234"/>
      <c r="C21" s="234" t="s">
        <v>61</v>
      </c>
      <c r="D21" s="234" t="s">
        <v>855</v>
      </c>
      <c r="E21" s="234" t="s">
        <v>61</v>
      </c>
      <c r="F21" s="234" t="s">
        <v>826</v>
      </c>
      <c r="G21" s="234" t="s">
        <v>61</v>
      </c>
      <c r="H21" s="234"/>
      <c r="I21" s="234" t="s">
        <v>852</v>
      </c>
      <c r="J21" s="234"/>
      <c r="K21" s="236"/>
      <c r="L21" s="236"/>
    </row>
    <row r="22" spans="1:20" ht="17.649999999999999">
      <c r="A22" s="234" t="s">
        <v>856</v>
      </c>
      <c r="B22" s="234"/>
      <c r="C22" s="234" t="s">
        <v>61</v>
      </c>
      <c r="D22" s="234" t="s">
        <v>855</v>
      </c>
      <c r="E22" s="234" t="s">
        <v>61</v>
      </c>
      <c r="F22" s="234" t="s">
        <v>826</v>
      </c>
      <c r="G22" s="234" t="s">
        <v>61</v>
      </c>
      <c r="H22" s="234"/>
      <c r="I22" s="234" t="s">
        <v>852</v>
      </c>
      <c r="J22" s="234"/>
      <c r="K22" s="236"/>
      <c r="L22" s="236"/>
    </row>
    <row r="23" spans="1:20" ht="17.649999999999999">
      <c r="A23" s="234" t="s">
        <v>856</v>
      </c>
      <c r="B23" s="234"/>
      <c r="C23" s="234" t="s">
        <v>61</v>
      </c>
      <c r="D23" s="234" t="s">
        <v>855</v>
      </c>
      <c r="E23" s="234" t="s">
        <v>61</v>
      </c>
      <c r="F23" s="234" t="s">
        <v>826</v>
      </c>
      <c r="G23" s="234" t="s">
        <v>61</v>
      </c>
      <c r="H23" s="234"/>
      <c r="I23" s="234" t="s">
        <v>852</v>
      </c>
      <c r="J23" s="234"/>
      <c r="K23" s="236"/>
      <c r="L23" s="236"/>
    </row>
    <row r="24" spans="1:20" ht="17.649999999999999">
      <c r="A24" s="234" t="s">
        <v>856</v>
      </c>
      <c r="B24" s="234"/>
      <c r="C24" s="234" t="s">
        <v>61</v>
      </c>
      <c r="D24" s="234" t="s">
        <v>855</v>
      </c>
      <c r="E24" s="234" t="s">
        <v>61</v>
      </c>
      <c r="F24" s="234" t="s">
        <v>826</v>
      </c>
      <c r="G24" s="234" t="s">
        <v>61</v>
      </c>
      <c r="H24" s="234"/>
      <c r="I24" s="234" t="s">
        <v>852</v>
      </c>
      <c r="J24" s="234"/>
      <c r="K24" s="236"/>
      <c r="L24" s="236"/>
    </row>
    <row r="25" spans="1:20" ht="17.649999999999999">
      <c r="A25" s="234" t="s">
        <v>856</v>
      </c>
      <c r="B25" s="234"/>
      <c r="C25" s="234" t="s">
        <v>61</v>
      </c>
      <c r="D25" s="234" t="s">
        <v>855</v>
      </c>
      <c r="E25" s="234" t="s">
        <v>61</v>
      </c>
      <c r="F25" s="234" t="s">
        <v>826</v>
      </c>
      <c r="G25" s="234" t="s">
        <v>61</v>
      </c>
      <c r="H25" s="234"/>
      <c r="I25" s="234" t="s">
        <v>852</v>
      </c>
      <c r="J25" s="234"/>
      <c r="K25" s="236"/>
      <c r="L25" s="236"/>
    </row>
    <row r="26" spans="1:20" ht="17.649999999999999">
      <c r="A26" s="234" t="s">
        <v>856</v>
      </c>
      <c r="B26" s="234"/>
      <c r="C26" s="234" t="s">
        <v>61</v>
      </c>
      <c r="D26" s="234" t="s">
        <v>855</v>
      </c>
      <c r="E26" s="234" t="s">
        <v>61</v>
      </c>
      <c r="F26" s="234" t="s">
        <v>826</v>
      </c>
      <c r="G26" s="234" t="s">
        <v>61</v>
      </c>
      <c r="H26" s="234"/>
      <c r="I26" s="234" t="s">
        <v>852</v>
      </c>
      <c r="J26" s="234"/>
      <c r="K26" s="236"/>
      <c r="L26" s="236"/>
    </row>
    <row r="27" spans="1:20" ht="17.649999999999999">
      <c r="A27" s="234" t="s">
        <v>856</v>
      </c>
      <c r="B27" s="234"/>
      <c r="C27" s="234" t="s">
        <v>61</v>
      </c>
      <c r="D27" s="234" t="s">
        <v>855</v>
      </c>
      <c r="E27" s="234" t="s">
        <v>61</v>
      </c>
      <c r="F27" s="234" t="s">
        <v>826</v>
      </c>
      <c r="G27" s="234" t="s">
        <v>61</v>
      </c>
      <c r="H27" s="234"/>
      <c r="I27" s="234" t="s">
        <v>852</v>
      </c>
      <c r="J27" s="234"/>
      <c r="K27" s="236"/>
      <c r="L27" s="236"/>
    </row>
    <row r="28" spans="1:20" ht="17.649999999999999">
      <c r="A28" s="234" t="s">
        <v>856</v>
      </c>
      <c r="B28" s="234"/>
      <c r="C28" s="234" t="s">
        <v>61</v>
      </c>
      <c r="D28" s="234" t="s">
        <v>855</v>
      </c>
      <c r="E28" s="234" t="s">
        <v>61</v>
      </c>
      <c r="F28" s="234" t="s">
        <v>826</v>
      </c>
      <c r="G28" s="234" t="s">
        <v>61</v>
      </c>
      <c r="H28" s="234"/>
      <c r="I28" s="234" t="s">
        <v>852</v>
      </c>
      <c r="J28" s="234"/>
      <c r="K28" s="236"/>
      <c r="L28" s="236"/>
    </row>
    <row r="29" spans="1:20" ht="17.649999999999999">
      <c r="A29" s="234" t="s">
        <v>856</v>
      </c>
      <c r="B29" s="234"/>
      <c r="C29" s="234" t="s">
        <v>61</v>
      </c>
      <c r="D29" s="234" t="s">
        <v>855</v>
      </c>
      <c r="E29" s="234" t="s">
        <v>61</v>
      </c>
      <c r="F29" s="234" t="s">
        <v>826</v>
      </c>
      <c r="G29" s="234" t="s">
        <v>61</v>
      </c>
      <c r="H29" s="234"/>
      <c r="I29" s="234" t="s">
        <v>852</v>
      </c>
      <c r="J29" s="234"/>
      <c r="K29" s="236"/>
      <c r="L29" s="236"/>
    </row>
    <row r="30" spans="1:20" ht="17.649999999999999">
      <c r="A30" s="234" t="s">
        <v>856</v>
      </c>
      <c r="B30" s="234"/>
      <c r="C30" s="234" t="s">
        <v>61</v>
      </c>
      <c r="D30" s="234" t="s">
        <v>855</v>
      </c>
      <c r="E30" s="234" t="s">
        <v>61</v>
      </c>
      <c r="F30" s="234" t="s">
        <v>826</v>
      </c>
      <c r="G30" s="234" t="s">
        <v>61</v>
      </c>
      <c r="H30" s="234"/>
      <c r="I30" s="234" t="s">
        <v>852</v>
      </c>
      <c r="J30" s="234"/>
      <c r="K30" s="236"/>
      <c r="L30" s="236"/>
    </row>
    <row r="31" spans="1:20" ht="17.649999999999999">
      <c r="A31" s="234" t="s">
        <v>856</v>
      </c>
      <c r="B31" s="234"/>
      <c r="C31" s="234" t="s">
        <v>61</v>
      </c>
      <c r="D31" s="234" t="s">
        <v>855</v>
      </c>
      <c r="E31" s="234" t="s">
        <v>61</v>
      </c>
      <c r="F31" s="234" t="s">
        <v>826</v>
      </c>
      <c r="G31" s="234" t="s">
        <v>61</v>
      </c>
      <c r="H31" s="234"/>
      <c r="I31" s="234" t="s">
        <v>852</v>
      </c>
      <c r="J31" s="234"/>
      <c r="K31" s="236"/>
      <c r="L31" s="236"/>
    </row>
    <row r="32" spans="1:20" ht="17.649999999999999">
      <c r="A32" s="234" t="s">
        <v>856</v>
      </c>
      <c r="B32" s="234"/>
      <c r="C32" s="234" t="s">
        <v>61</v>
      </c>
      <c r="D32" s="234" t="s">
        <v>855</v>
      </c>
      <c r="E32" s="234" t="s">
        <v>61</v>
      </c>
      <c r="F32" s="234" t="s">
        <v>826</v>
      </c>
      <c r="G32" s="234" t="s">
        <v>61</v>
      </c>
      <c r="H32" s="234"/>
      <c r="I32" s="234" t="s">
        <v>852</v>
      </c>
      <c r="J32" s="234"/>
      <c r="K32" s="236"/>
      <c r="L32" s="236"/>
    </row>
    <row r="33" spans="1:12" ht="17.649999999999999">
      <c r="A33" s="234" t="s">
        <v>856</v>
      </c>
      <c r="B33" s="234"/>
      <c r="C33" s="234" t="s">
        <v>61</v>
      </c>
      <c r="D33" s="234" t="s">
        <v>855</v>
      </c>
      <c r="E33" s="234" t="s">
        <v>61</v>
      </c>
      <c r="F33" s="234" t="s">
        <v>826</v>
      </c>
      <c r="G33" s="234" t="s">
        <v>61</v>
      </c>
      <c r="H33" s="234"/>
      <c r="I33" s="234" t="s">
        <v>852</v>
      </c>
      <c r="J33" s="234"/>
      <c r="K33" s="236"/>
      <c r="L33" s="236"/>
    </row>
    <row r="34" spans="1:12" ht="17.649999999999999">
      <c r="A34" s="234" t="s">
        <v>856</v>
      </c>
      <c r="B34" s="234"/>
      <c r="C34" s="234" t="s">
        <v>61</v>
      </c>
      <c r="D34" s="234" t="s">
        <v>855</v>
      </c>
      <c r="E34" s="234" t="s">
        <v>61</v>
      </c>
      <c r="F34" s="234" t="s">
        <v>826</v>
      </c>
      <c r="G34" s="234" t="s">
        <v>61</v>
      </c>
      <c r="H34" s="234"/>
      <c r="I34" s="234" t="s">
        <v>852</v>
      </c>
      <c r="J34" s="234"/>
      <c r="K34" s="236"/>
      <c r="L34" s="236"/>
    </row>
    <row r="35" spans="1:12" ht="17.649999999999999">
      <c r="A35" s="234" t="s">
        <v>856</v>
      </c>
      <c r="B35" s="234"/>
      <c r="C35" s="234" t="s">
        <v>61</v>
      </c>
      <c r="D35" s="234" t="s">
        <v>855</v>
      </c>
      <c r="E35" s="234" t="s">
        <v>61</v>
      </c>
      <c r="F35" s="234" t="s">
        <v>826</v>
      </c>
      <c r="G35" s="234" t="s">
        <v>61</v>
      </c>
      <c r="H35" s="234"/>
      <c r="I35" s="234" t="s">
        <v>852</v>
      </c>
      <c r="J35" s="234"/>
      <c r="K35" s="236"/>
      <c r="L35" s="236"/>
    </row>
    <row r="36" spans="1:12" ht="17.649999999999999">
      <c r="A36" s="234" t="s">
        <v>856</v>
      </c>
      <c r="B36" s="234"/>
      <c r="C36" s="234" t="s">
        <v>61</v>
      </c>
      <c r="D36" s="234" t="s">
        <v>855</v>
      </c>
      <c r="E36" s="234" t="s">
        <v>61</v>
      </c>
      <c r="F36" s="234" t="s">
        <v>826</v>
      </c>
      <c r="G36" s="234" t="s">
        <v>61</v>
      </c>
      <c r="H36" s="234"/>
      <c r="I36" s="234" t="s">
        <v>852</v>
      </c>
      <c r="J36" s="234"/>
      <c r="K36" s="236"/>
      <c r="L36" s="236"/>
    </row>
    <row r="37" spans="1:12" ht="17.649999999999999">
      <c r="A37" s="234" t="s">
        <v>856</v>
      </c>
      <c r="B37" s="234"/>
      <c r="C37" s="234" t="s">
        <v>61</v>
      </c>
      <c r="D37" s="234" t="s">
        <v>855</v>
      </c>
      <c r="E37" s="234" t="s">
        <v>61</v>
      </c>
      <c r="F37" s="234" t="s">
        <v>826</v>
      </c>
      <c r="G37" s="234" t="s">
        <v>61</v>
      </c>
      <c r="H37" s="234"/>
      <c r="I37" s="234" t="s">
        <v>852</v>
      </c>
      <c r="J37" s="234"/>
      <c r="K37" s="236"/>
      <c r="L37" s="236"/>
    </row>
    <row r="38" spans="1:12" ht="17.649999999999999">
      <c r="A38" s="234" t="s">
        <v>856</v>
      </c>
      <c r="B38" s="234"/>
      <c r="C38" s="234" t="s">
        <v>61</v>
      </c>
      <c r="D38" s="234" t="s">
        <v>855</v>
      </c>
      <c r="E38" s="234" t="s">
        <v>61</v>
      </c>
      <c r="F38" s="234" t="s">
        <v>826</v>
      </c>
      <c r="G38" s="234" t="s">
        <v>61</v>
      </c>
      <c r="H38" s="234"/>
      <c r="I38" s="234" t="s">
        <v>852</v>
      </c>
      <c r="J38" s="234"/>
      <c r="K38" s="236"/>
      <c r="L38" s="236"/>
    </row>
    <row r="39" spans="1:12" ht="17.649999999999999">
      <c r="A39" s="234" t="s">
        <v>856</v>
      </c>
      <c r="B39" s="234"/>
      <c r="C39" s="234" t="s">
        <v>61</v>
      </c>
      <c r="D39" s="234" t="s">
        <v>855</v>
      </c>
      <c r="E39" s="234" t="s">
        <v>61</v>
      </c>
      <c r="F39" s="234" t="s">
        <v>826</v>
      </c>
      <c r="G39" s="234" t="s">
        <v>61</v>
      </c>
      <c r="H39" s="234"/>
      <c r="I39" s="234" t="s">
        <v>852</v>
      </c>
      <c r="J39" s="234"/>
      <c r="K39" s="236"/>
      <c r="L39" s="236"/>
    </row>
    <row r="40" spans="1:12" ht="17.649999999999999">
      <c r="A40" s="234" t="s">
        <v>856</v>
      </c>
      <c r="B40" s="234"/>
      <c r="C40" s="234" t="s">
        <v>61</v>
      </c>
      <c r="D40" s="234" t="s">
        <v>855</v>
      </c>
      <c r="E40" s="234" t="s">
        <v>61</v>
      </c>
      <c r="F40" s="234" t="s">
        <v>826</v>
      </c>
      <c r="G40" s="234" t="s">
        <v>61</v>
      </c>
      <c r="H40" s="234"/>
      <c r="I40" s="234" t="s">
        <v>852</v>
      </c>
      <c r="J40" s="234"/>
      <c r="K40" s="236"/>
      <c r="L40" s="236"/>
    </row>
    <row r="41" spans="1:12" ht="17.649999999999999">
      <c r="A41" s="234" t="s">
        <v>856</v>
      </c>
      <c r="B41" s="234"/>
      <c r="C41" s="234" t="s">
        <v>61</v>
      </c>
      <c r="D41" s="234" t="s">
        <v>855</v>
      </c>
      <c r="E41" s="234" t="s">
        <v>61</v>
      </c>
      <c r="F41" s="234" t="s">
        <v>826</v>
      </c>
      <c r="G41" s="234" t="s">
        <v>61</v>
      </c>
      <c r="H41" s="234"/>
      <c r="I41" s="234" t="s">
        <v>852</v>
      </c>
      <c r="J41" s="234"/>
      <c r="K41" s="236"/>
      <c r="L41" s="236"/>
    </row>
    <row r="42" spans="1:12" ht="17.649999999999999">
      <c r="A42" s="234" t="s">
        <v>856</v>
      </c>
      <c r="B42" s="234"/>
      <c r="C42" s="234" t="s">
        <v>61</v>
      </c>
      <c r="D42" s="234" t="s">
        <v>855</v>
      </c>
      <c r="E42" s="234" t="s">
        <v>61</v>
      </c>
      <c r="F42" s="234" t="s">
        <v>826</v>
      </c>
      <c r="G42" s="234" t="s">
        <v>61</v>
      </c>
      <c r="H42" s="234"/>
      <c r="I42" s="234" t="s">
        <v>852</v>
      </c>
      <c r="J42" s="234"/>
      <c r="K42" s="236"/>
      <c r="L42" s="236"/>
    </row>
    <row r="43" spans="1:12" ht="17.649999999999999">
      <c r="A43" s="234" t="s">
        <v>856</v>
      </c>
      <c r="B43" s="234"/>
      <c r="C43" s="234" t="s">
        <v>61</v>
      </c>
      <c r="D43" s="234" t="s">
        <v>855</v>
      </c>
      <c r="E43" s="234" t="s">
        <v>61</v>
      </c>
      <c r="F43" s="234" t="s">
        <v>826</v>
      </c>
      <c r="G43" s="234" t="s">
        <v>61</v>
      </c>
      <c r="H43" s="234"/>
      <c r="I43" s="234" t="s">
        <v>852</v>
      </c>
      <c r="J43" s="234"/>
      <c r="K43" s="236"/>
      <c r="L43" s="236"/>
    </row>
    <row r="44" spans="1:12" ht="17.649999999999999">
      <c r="A44" s="234" t="s">
        <v>856</v>
      </c>
      <c r="B44" s="234"/>
      <c r="C44" s="234" t="s">
        <v>61</v>
      </c>
      <c r="D44" s="234" t="s">
        <v>855</v>
      </c>
      <c r="E44" s="234" t="s">
        <v>61</v>
      </c>
      <c r="F44" s="234" t="s">
        <v>826</v>
      </c>
      <c r="G44" s="234" t="s">
        <v>61</v>
      </c>
      <c r="H44" s="234"/>
      <c r="I44" s="234" t="s">
        <v>852</v>
      </c>
      <c r="J44" s="234"/>
      <c r="K44" s="236"/>
      <c r="L44" s="236"/>
    </row>
    <row r="45" spans="1:12" ht="17.649999999999999">
      <c r="A45" s="234" t="s">
        <v>856</v>
      </c>
      <c r="B45" s="234"/>
      <c r="C45" s="234" t="s">
        <v>61</v>
      </c>
      <c r="D45" s="234" t="s">
        <v>855</v>
      </c>
      <c r="E45" s="234" t="s">
        <v>61</v>
      </c>
      <c r="F45" s="234" t="s">
        <v>826</v>
      </c>
      <c r="G45" s="234" t="s">
        <v>61</v>
      </c>
      <c r="H45" s="234"/>
      <c r="I45" s="234" t="s">
        <v>852</v>
      </c>
      <c r="J45" s="234"/>
      <c r="K45" s="236"/>
      <c r="L45" s="236"/>
    </row>
    <row r="46" spans="1:12" ht="17.649999999999999">
      <c r="A46" s="234" t="s">
        <v>856</v>
      </c>
      <c r="B46" s="234"/>
      <c r="C46" s="234" t="s">
        <v>61</v>
      </c>
      <c r="D46" s="234" t="s">
        <v>855</v>
      </c>
      <c r="E46" s="234" t="s">
        <v>61</v>
      </c>
      <c r="F46" s="234" t="s">
        <v>826</v>
      </c>
      <c r="G46" s="234" t="s">
        <v>61</v>
      </c>
      <c r="H46" s="234"/>
      <c r="I46" s="234" t="s">
        <v>852</v>
      </c>
      <c r="J46" s="234"/>
      <c r="K46" s="236"/>
      <c r="L46" s="236"/>
    </row>
    <row r="47" spans="1:12" ht="17.649999999999999">
      <c r="A47" s="234" t="s">
        <v>856</v>
      </c>
      <c r="B47" s="234"/>
      <c r="C47" s="234" t="s">
        <v>61</v>
      </c>
      <c r="D47" s="234" t="s">
        <v>855</v>
      </c>
      <c r="E47" s="234" t="s">
        <v>61</v>
      </c>
      <c r="F47" s="234" t="s">
        <v>826</v>
      </c>
      <c r="G47" s="234" t="s">
        <v>61</v>
      </c>
      <c r="H47" s="234"/>
      <c r="I47" s="234" t="s">
        <v>852</v>
      </c>
      <c r="J47" s="234"/>
      <c r="K47" s="236"/>
      <c r="L47" s="236"/>
    </row>
    <row r="48" spans="1:12" ht="17.649999999999999">
      <c r="A48" s="234" t="s">
        <v>856</v>
      </c>
      <c r="B48" s="234"/>
      <c r="C48" s="234" t="s">
        <v>61</v>
      </c>
      <c r="D48" s="234" t="s">
        <v>855</v>
      </c>
      <c r="E48" s="234" t="s">
        <v>61</v>
      </c>
      <c r="F48" s="234" t="s">
        <v>826</v>
      </c>
      <c r="G48" s="234" t="s">
        <v>61</v>
      </c>
      <c r="H48" s="234"/>
      <c r="I48" s="234" t="s">
        <v>852</v>
      </c>
      <c r="J48" s="234"/>
      <c r="K48" s="236"/>
      <c r="L48" s="236"/>
    </row>
    <row r="49" spans="1:20" ht="17.649999999999999">
      <c r="A49" s="234" t="s">
        <v>856</v>
      </c>
      <c r="B49" s="234"/>
      <c r="C49" s="234" t="s">
        <v>61</v>
      </c>
      <c r="D49" s="234" t="s">
        <v>855</v>
      </c>
      <c r="E49" s="234" t="s">
        <v>61</v>
      </c>
      <c r="F49" s="234" t="s">
        <v>826</v>
      </c>
      <c r="G49" s="234" t="s">
        <v>61</v>
      </c>
      <c r="H49" s="234"/>
      <c r="I49" s="234" t="s">
        <v>852</v>
      </c>
      <c r="J49" s="234"/>
      <c r="K49" s="236"/>
      <c r="L49" s="236"/>
    </row>
    <row r="50" spans="1:20" ht="17.649999999999999">
      <c r="A50" s="234" t="s">
        <v>856</v>
      </c>
      <c r="B50" s="234"/>
      <c r="C50" s="234" t="s">
        <v>61</v>
      </c>
      <c r="D50" s="234" t="s">
        <v>855</v>
      </c>
      <c r="E50" s="234" t="s">
        <v>61</v>
      </c>
      <c r="F50" s="234" t="s">
        <v>826</v>
      </c>
      <c r="G50" s="234" t="s">
        <v>61</v>
      </c>
      <c r="H50" s="234"/>
      <c r="I50" s="234" t="s">
        <v>852</v>
      </c>
      <c r="J50" s="234"/>
      <c r="K50" s="236"/>
      <c r="L50" s="236"/>
    </row>
    <row r="51" spans="1:20" ht="17.649999999999999">
      <c r="A51" s="234" t="s">
        <v>856</v>
      </c>
      <c r="B51" s="234"/>
      <c r="C51" s="234" t="s">
        <v>61</v>
      </c>
      <c r="D51" s="234" t="s">
        <v>855</v>
      </c>
      <c r="E51" s="234" t="s">
        <v>61</v>
      </c>
      <c r="F51" s="234" t="s">
        <v>826</v>
      </c>
      <c r="G51" s="234" t="s">
        <v>61</v>
      </c>
      <c r="H51" s="234"/>
      <c r="I51" s="234" t="s">
        <v>852</v>
      </c>
      <c r="J51" s="234"/>
      <c r="K51" s="236"/>
      <c r="L51" s="236"/>
    </row>
    <row r="52" spans="1:20" ht="17.25" customHeight="1">
      <c r="A52" s="234" t="s">
        <v>856</v>
      </c>
      <c r="B52" s="234"/>
      <c r="C52" s="234" t="s">
        <v>61</v>
      </c>
      <c r="D52" s="234" t="s">
        <v>855</v>
      </c>
      <c r="E52" s="234" t="s">
        <v>61</v>
      </c>
      <c r="F52" s="234" t="s">
        <v>826</v>
      </c>
      <c r="G52" s="234" t="s">
        <v>61</v>
      </c>
      <c r="H52" s="234"/>
      <c r="I52" s="234" t="s">
        <v>852</v>
      </c>
      <c r="J52" s="234"/>
      <c r="K52" s="236"/>
      <c r="L52" s="236"/>
      <c r="S52" s="1" t="s">
        <v>34</v>
      </c>
      <c r="T52" s="437"/>
    </row>
    <row r="53" spans="1:20" ht="17.25" customHeight="1">
      <c r="A53" s="234" t="s">
        <v>856</v>
      </c>
      <c r="B53" s="234"/>
      <c r="C53" s="234" t="s">
        <v>61</v>
      </c>
      <c r="D53" s="234" t="s">
        <v>855</v>
      </c>
      <c r="E53" s="234" t="s">
        <v>61</v>
      </c>
      <c r="F53" s="234" t="s">
        <v>826</v>
      </c>
      <c r="G53" s="234" t="s">
        <v>61</v>
      </c>
      <c r="H53" s="234"/>
      <c r="I53" s="234" t="s">
        <v>852</v>
      </c>
      <c r="J53" s="234"/>
      <c r="K53" s="236"/>
      <c r="L53" s="236"/>
      <c r="T53" s="437"/>
    </row>
    <row r="54" spans="1:20" ht="17.649999999999999">
      <c r="A54" s="234" t="s">
        <v>856</v>
      </c>
      <c r="B54" s="234"/>
      <c r="C54" s="234" t="s">
        <v>61</v>
      </c>
      <c r="D54" s="234" t="s">
        <v>855</v>
      </c>
      <c r="E54" s="234" t="s">
        <v>61</v>
      </c>
      <c r="F54" s="234" t="s">
        <v>826</v>
      </c>
      <c r="G54" s="234" t="s">
        <v>61</v>
      </c>
      <c r="H54" s="234"/>
      <c r="I54" s="234" t="s">
        <v>852</v>
      </c>
      <c r="J54" s="234"/>
      <c r="K54" s="236"/>
      <c r="L54" s="236"/>
    </row>
    <row r="55" spans="1:20" ht="17.649999999999999">
      <c r="A55" s="234" t="s">
        <v>856</v>
      </c>
      <c r="B55" s="234"/>
      <c r="C55" s="234" t="s">
        <v>61</v>
      </c>
      <c r="D55" s="234" t="s">
        <v>855</v>
      </c>
      <c r="E55" s="234" t="s">
        <v>61</v>
      </c>
      <c r="F55" s="234" t="s">
        <v>826</v>
      </c>
      <c r="G55" s="234" t="s">
        <v>61</v>
      </c>
      <c r="H55" s="234"/>
      <c r="I55" s="234" t="s">
        <v>852</v>
      </c>
      <c r="J55" s="234"/>
      <c r="K55" s="236"/>
      <c r="L55" s="236"/>
    </row>
    <row r="56" spans="1:20" ht="17.649999999999999">
      <c r="A56" s="234" t="s">
        <v>856</v>
      </c>
      <c r="B56" s="234"/>
      <c r="C56" s="234" t="s">
        <v>61</v>
      </c>
      <c r="D56" s="234" t="s">
        <v>855</v>
      </c>
      <c r="E56" s="234" t="s">
        <v>61</v>
      </c>
      <c r="F56" s="234" t="s">
        <v>826</v>
      </c>
      <c r="G56" s="234" t="s">
        <v>61</v>
      </c>
      <c r="H56" s="234"/>
      <c r="I56" s="234" t="s">
        <v>852</v>
      </c>
      <c r="J56" s="234"/>
      <c r="K56" s="236"/>
      <c r="L56" s="236"/>
    </row>
    <row r="57" spans="1:20" ht="17.649999999999999">
      <c r="A57" s="234" t="s">
        <v>856</v>
      </c>
      <c r="B57" s="234"/>
      <c r="C57" s="234" t="s">
        <v>61</v>
      </c>
      <c r="D57" s="234" t="s">
        <v>855</v>
      </c>
      <c r="E57" s="234" t="s">
        <v>61</v>
      </c>
      <c r="F57" s="234" t="s">
        <v>826</v>
      </c>
      <c r="G57" s="234" t="s">
        <v>61</v>
      </c>
      <c r="H57" s="234"/>
      <c r="I57" s="234" t="s">
        <v>852</v>
      </c>
      <c r="J57" s="234"/>
      <c r="K57" s="236"/>
      <c r="L57" s="236"/>
    </row>
    <row r="58" spans="1:20" ht="17.649999999999999">
      <c r="A58" s="234" t="s">
        <v>856</v>
      </c>
      <c r="B58" s="234"/>
      <c r="C58" s="234" t="s">
        <v>61</v>
      </c>
      <c r="D58" s="234" t="s">
        <v>855</v>
      </c>
      <c r="E58" s="234" t="s">
        <v>61</v>
      </c>
      <c r="F58" s="234" t="s">
        <v>826</v>
      </c>
      <c r="G58" s="234" t="s">
        <v>61</v>
      </c>
      <c r="H58" s="234"/>
      <c r="I58" s="234" t="s">
        <v>852</v>
      </c>
      <c r="J58" s="234"/>
      <c r="K58" s="236"/>
      <c r="L58" s="236"/>
    </row>
    <row r="59" spans="1:20" ht="17.649999999999999">
      <c r="A59" s="234" t="s">
        <v>856</v>
      </c>
      <c r="B59" s="234"/>
      <c r="C59" s="234" t="s">
        <v>61</v>
      </c>
      <c r="D59" s="234" t="s">
        <v>855</v>
      </c>
      <c r="E59" s="234" t="s">
        <v>61</v>
      </c>
      <c r="F59" s="234" t="s">
        <v>826</v>
      </c>
      <c r="G59" s="234" t="s">
        <v>61</v>
      </c>
      <c r="H59" s="234"/>
      <c r="I59" s="234" t="s">
        <v>852</v>
      </c>
      <c r="J59" s="234"/>
      <c r="K59" s="236"/>
      <c r="L59" s="236"/>
    </row>
    <row r="60" spans="1:20" ht="17.649999999999999">
      <c r="A60" s="234" t="s">
        <v>856</v>
      </c>
      <c r="B60" s="234"/>
      <c r="C60" s="234" t="s">
        <v>61</v>
      </c>
      <c r="D60" s="234" t="s">
        <v>855</v>
      </c>
      <c r="E60" s="234" t="s">
        <v>61</v>
      </c>
      <c r="F60" s="234" t="s">
        <v>826</v>
      </c>
      <c r="G60" s="234" t="s">
        <v>61</v>
      </c>
      <c r="H60" s="234"/>
      <c r="I60" s="234" t="s">
        <v>852</v>
      </c>
      <c r="J60" s="234"/>
      <c r="K60" s="236"/>
      <c r="L60" s="236"/>
    </row>
    <row r="61" spans="1:20" ht="17.649999999999999">
      <c r="A61" s="234" t="s">
        <v>856</v>
      </c>
      <c r="B61" s="234"/>
      <c r="C61" s="234" t="s">
        <v>61</v>
      </c>
      <c r="D61" s="234" t="s">
        <v>855</v>
      </c>
      <c r="E61" s="234" t="s">
        <v>61</v>
      </c>
      <c r="F61" s="234" t="s">
        <v>826</v>
      </c>
      <c r="G61" s="234" t="s">
        <v>61</v>
      </c>
      <c r="H61" s="234"/>
      <c r="I61" s="234" t="s">
        <v>852</v>
      </c>
      <c r="J61" s="234"/>
      <c r="K61" s="236"/>
      <c r="L61" s="236"/>
    </row>
    <row r="62" spans="1:20" ht="17.649999999999999">
      <c r="A62" s="234" t="s">
        <v>856</v>
      </c>
      <c r="B62" s="234"/>
      <c r="C62" s="234" t="s">
        <v>61</v>
      </c>
      <c r="D62" s="234" t="s">
        <v>855</v>
      </c>
      <c r="E62" s="234" t="s">
        <v>61</v>
      </c>
      <c r="F62" s="234" t="s">
        <v>826</v>
      </c>
      <c r="G62" s="234" t="s">
        <v>61</v>
      </c>
      <c r="H62" s="234"/>
      <c r="I62" s="234" t="s">
        <v>852</v>
      </c>
      <c r="J62" s="234"/>
      <c r="K62" s="236"/>
      <c r="L62" s="236"/>
    </row>
    <row r="63" spans="1:20" ht="17.649999999999999">
      <c r="A63" s="234" t="s">
        <v>856</v>
      </c>
      <c r="B63" s="234"/>
      <c r="C63" s="234" t="s">
        <v>61</v>
      </c>
      <c r="D63" s="234" t="s">
        <v>855</v>
      </c>
      <c r="E63" s="234" t="s">
        <v>61</v>
      </c>
      <c r="F63" s="234" t="s">
        <v>826</v>
      </c>
      <c r="G63" s="234" t="s">
        <v>61</v>
      </c>
      <c r="H63" s="234"/>
      <c r="I63" s="234" t="s">
        <v>852</v>
      </c>
      <c r="J63" s="234"/>
      <c r="K63" s="236"/>
      <c r="L63" s="236"/>
    </row>
    <row r="64" spans="1:20" ht="17.649999999999999">
      <c r="A64" s="234" t="s">
        <v>856</v>
      </c>
      <c r="B64" s="234"/>
      <c r="C64" s="234" t="s">
        <v>61</v>
      </c>
      <c r="D64" s="234" t="s">
        <v>855</v>
      </c>
      <c r="E64" s="234" t="s">
        <v>61</v>
      </c>
      <c r="F64" s="234" t="s">
        <v>826</v>
      </c>
      <c r="G64" s="234" t="s">
        <v>61</v>
      </c>
      <c r="H64" s="234"/>
      <c r="I64" s="234" t="s">
        <v>852</v>
      </c>
      <c r="J64" s="234"/>
      <c r="K64" s="236"/>
      <c r="L64" s="236"/>
    </row>
    <row r="65" spans="1:12" ht="17.649999999999999">
      <c r="A65" s="234" t="s">
        <v>856</v>
      </c>
      <c r="B65" s="234"/>
      <c r="C65" s="234" t="s">
        <v>61</v>
      </c>
      <c r="D65" s="234" t="s">
        <v>855</v>
      </c>
      <c r="E65" s="234" t="s">
        <v>61</v>
      </c>
      <c r="F65" s="234" t="s">
        <v>826</v>
      </c>
      <c r="G65" s="234" t="s">
        <v>61</v>
      </c>
      <c r="H65" s="234"/>
      <c r="I65" s="234" t="s">
        <v>852</v>
      </c>
      <c r="J65" s="234"/>
      <c r="K65" s="236"/>
      <c r="L65" s="236"/>
    </row>
    <row r="66" spans="1:12" ht="17.649999999999999">
      <c r="A66" s="234" t="s">
        <v>856</v>
      </c>
      <c r="B66" s="234"/>
      <c r="C66" s="234" t="s">
        <v>61</v>
      </c>
      <c r="D66" s="234" t="s">
        <v>855</v>
      </c>
      <c r="E66" s="234" t="s">
        <v>61</v>
      </c>
      <c r="F66" s="234" t="s">
        <v>826</v>
      </c>
      <c r="G66" s="234" t="s">
        <v>61</v>
      </c>
      <c r="H66" s="234"/>
      <c r="I66" s="234" t="s">
        <v>852</v>
      </c>
      <c r="J66" s="234"/>
      <c r="K66" s="236"/>
      <c r="L66" s="236"/>
    </row>
    <row r="67" spans="1:12" ht="17.649999999999999">
      <c r="A67" s="234" t="s">
        <v>856</v>
      </c>
      <c r="B67" s="234"/>
      <c r="C67" s="234" t="s">
        <v>61</v>
      </c>
      <c r="D67" s="234" t="s">
        <v>855</v>
      </c>
      <c r="E67" s="234" t="s">
        <v>61</v>
      </c>
      <c r="F67" s="234" t="s">
        <v>826</v>
      </c>
      <c r="G67" s="234" t="s">
        <v>61</v>
      </c>
      <c r="H67" s="234"/>
      <c r="I67" s="234" t="s">
        <v>852</v>
      </c>
      <c r="J67" s="234"/>
      <c r="K67" s="236"/>
      <c r="L67" s="236"/>
    </row>
    <row r="68" spans="1:12" ht="17.649999999999999">
      <c r="A68" s="234" t="s">
        <v>856</v>
      </c>
      <c r="B68" s="234"/>
      <c r="C68" s="234" t="s">
        <v>61</v>
      </c>
      <c r="D68" s="234" t="s">
        <v>855</v>
      </c>
      <c r="E68" s="234" t="s">
        <v>61</v>
      </c>
      <c r="F68" s="234" t="s">
        <v>826</v>
      </c>
      <c r="G68" s="234" t="s">
        <v>61</v>
      </c>
      <c r="H68" s="234"/>
      <c r="I68" s="234" t="s">
        <v>852</v>
      </c>
      <c r="J68" s="234"/>
      <c r="K68" s="236"/>
      <c r="L68" s="236"/>
    </row>
    <row r="69" spans="1:12" ht="17.649999999999999">
      <c r="A69" s="234" t="s">
        <v>856</v>
      </c>
      <c r="B69" s="234"/>
      <c r="C69" s="234" t="s">
        <v>61</v>
      </c>
      <c r="D69" s="234" t="s">
        <v>855</v>
      </c>
      <c r="E69" s="234" t="s">
        <v>61</v>
      </c>
      <c r="F69" s="234" t="s">
        <v>826</v>
      </c>
      <c r="G69" s="234" t="s">
        <v>61</v>
      </c>
      <c r="H69" s="234"/>
      <c r="I69" s="234" t="s">
        <v>852</v>
      </c>
      <c r="J69" s="234"/>
      <c r="K69" s="236"/>
      <c r="L69" s="236"/>
    </row>
    <row r="70" spans="1:12" ht="17.649999999999999">
      <c r="A70" s="234" t="s">
        <v>856</v>
      </c>
      <c r="B70" s="234"/>
      <c r="C70" s="234" t="s">
        <v>61</v>
      </c>
      <c r="D70" s="234" t="s">
        <v>855</v>
      </c>
      <c r="E70" s="234" t="s">
        <v>61</v>
      </c>
      <c r="F70" s="234" t="s">
        <v>826</v>
      </c>
      <c r="G70" s="234" t="s">
        <v>61</v>
      </c>
      <c r="H70" s="234"/>
      <c r="I70" s="234" t="s">
        <v>852</v>
      </c>
      <c r="J70" s="234"/>
      <c r="K70" s="236"/>
      <c r="L70" s="236"/>
    </row>
    <row r="71" spans="1:12" ht="17.649999999999999">
      <c r="A71" s="234" t="s">
        <v>856</v>
      </c>
      <c r="B71" s="234"/>
      <c r="C71" s="234" t="s">
        <v>61</v>
      </c>
      <c r="D71" s="234" t="s">
        <v>855</v>
      </c>
      <c r="E71" s="234" t="s">
        <v>61</v>
      </c>
      <c r="F71" s="234" t="s">
        <v>826</v>
      </c>
      <c r="G71" s="234" t="s">
        <v>61</v>
      </c>
      <c r="H71" s="234"/>
      <c r="I71" s="234" t="s">
        <v>852</v>
      </c>
      <c r="J71" s="234"/>
      <c r="K71" s="236"/>
      <c r="L71" s="236"/>
    </row>
    <row r="72" spans="1:12" ht="17.649999999999999">
      <c r="A72" s="234" t="s">
        <v>856</v>
      </c>
      <c r="B72" s="234"/>
      <c r="C72" s="234" t="s">
        <v>61</v>
      </c>
      <c r="D72" s="234" t="s">
        <v>855</v>
      </c>
      <c r="E72" s="234" t="s">
        <v>61</v>
      </c>
      <c r="F72" s="234" t="s">
        <v>826</v>
      </c>
      <c r="G72" s="234" t="s">
        <v>61</v>
      </c>
      <c r="H72" s="234"/>
      <c r="I72" s="234" t="s">
        <v>852</v>
      </c>
      <c r="J72" s="234"/>
      <c r="K72" s="236"/>
      <c r="L72" s="236"/>
    </row>
    <row r="73" spans="1:12" ht="17.649999999999999">
      <c r="A73" s="234" t="s">
        <v>856</v>
      </c>
      <c r="B73" s="234"/>
      <c r="C73" s="234" t="s">
        <v>61</v>
      </c>
      <c r="D73" s="234" t="s">
        <v>855</v>
      </c>
      <c r="E73" s="234" t="s">
        <v>61</v>
      </c>
      <c r="F73" s="234" t="s">
        <v>826</v>
      </c>
      <c r="G73" s="234" t="s">
        <v>61</v>
      </c>
      <c r="H73" s="234"/>
      <c r="I73" s="234" t="s">
        <v>852</v>
      </c>
      <c r="J73" s="234"/>
      <c r="K73" s="236"/>
      <c r="L73" s="236"/>
    </row>
    <row r="74" spans="1:12" ht="17.649999999999999">
      <c r="A74" s="234" t="s">
        <v>856</v>
      </c>
      <c r="B74" s="234"/>
      <c r="C74" s="234" t="s">
        <v>61</v>
      </c>
      <c r="D74" s="234" t="s">
        <v>855</v>
      </c>
      <c r="E74" s="234" t="s">
        <v>61</v>
      </c>
      <c r="F74" s="234" t="s">
        <v>826</v>
      </c>
      <c r="G74" s="234" t="s">
        <v>61</v>
      </c>
      <c r="H74" s="234"/>
      <c r="I74" s="234" t="s">
        <v>852</v>
      </c>
      <c r="J74" s="234"/>
      <c r="K74" s="236"/>
      <c r="L74" s="236"/>
    </row>
    <row r="75" spans="1:12" ht="17.649999999999999">
      <c r="A75" s="234" t="s">
        <v>856</v>
      </c>
      <c r="B75" s="234"/>
      <c r="C75" s="234" t="s">
        <v>61</v>
      </c>
      <c r="D75" s="234" t="s">
        <v>855</v>
      </c>
      <c r="E75" s="234" t="s">
        <v>61</v>
      </c>
      <c r="F75" s="234" t="s">
        <v>826</v>
      </c>
      <c r="G75" s="234" t="s">
        <v>61</v>
      </c>
      <c r="H75" s="234"/>
      <c r="I75" s="234" t="s">
        <v>852</v>
      </c>
      <c r="J75" s="234"/>
      <c r="K75" s="236"/>
      <c r="L75" s="236"/>
    </row>
    <row r="76" spans="1:12" ht="17.649999999999999">
      <c r="A76" s="234" t="s">
        <v>856</v>
      </c>
      <c r="B76" s="234"/>
      <c r="C76" s="234" t="s">
        <v>61</v>
      </c>
      <c r="D76" s="234" t="s">
        <v>855</v>
      </c>
      <c r="E76" s="234" t="s">
        <v>61</v>
      </c>
      <c r="F76" s="234" t="s">
        <v>826</v>
      </c>
      <c r="G76" s="234" t="s">
        <v>61</v>
      </c>
      <c r="H76" s="234"/>
      <c r="I76" s="234" t="s">
        <v>852</v>
      </c>
      <c r="J76" s="234"/>
      <c r="K76" s="236"/>
      <c r="L76" s="236"/>
    </row>
    <row r="77" spans="1:12" ht="17.649999999999999">
      <c r="A77" s="234" t="s">
        <v>856</v>
      </c>
      <c r="B77" s="234"/>
      <c r="C77" s="234" t="s">
        <v>61</v>
      </c>
      <c r="D77" s="234" t="s">
        <v>855</v>
      </c>
      <c r="E77" s="234" t="s">
        <v>61</v>
      </c>
      <c r="F77" s="234" t="s">
        <v>826</v>
      </c>
      <c r="G77" s="234" t="s">
        <v>61</v>
      </c>
      <c r="H77" s="234"/>
      <c r="I77" s="234" t="s">
        <v>852</v>
      </c>
      <c r="J77" s="234"/>
      <c r="K77" s="236"/>
      <c r="L77" s="236"/>
    </row>
    <row r="78" spans="1:12" ht="17.649999999999999">
      <c r="A78" s="234" t="s">
        <v>856</v>
      </c>
      <c r="B78" s="234"/>
      <c r="C78" s="234" t="s">
        <v>61</v>
      </c>
      <c r="D78" s="234" t="s">
        <v>855</v>
      </c>
      <c r="E78" s="234" t="s">
        <v>61</v>
      </c>
      <c r="F78" s="234" t="s">
        <v>826</v>
      </c>
      <c r="G78" s="234" t="s">
        <v>61</v>
      </c>
      <c r="H78" s="234"/>
      <c r="I78" s="234" t="s">
        <v>852</v>
      </c>
      <c r="J78" s="234"/>
      <c r="K78" s="236"/>
      <c r="L78" s="236"/>
    </row>
    <row r="79" spans="1:12" ht="17.649999999999999">
      <c r="A79" s="234" t="s">
        <v>856</v>
      </c>
      <c r="B79" s="234"/>
      <c r="C79" s="234" t="s">
        <v>61</v>
      </c>
      <c r="D79" s="234" t="s">
        <v>855</v>
      </c>
      <c r="E79" s="234" t="s">
        <v>61</v>
      </c>
      <c r="F79" s="234" t="s">
        <v>826</v>
      </c>
      <c r="G79" s="234" t="s">
        <v>61</v>
      </c>
      <c r="H79" s="234"/>
      <c r="I79" s="234" t="s">
        <v>852</v>
      </c>
      <c r="J79" s="234"/>
      <c r="K79" s="236"/>
      <c r="L79" s="236"/>
    </row>
    <row r="80" spans="1:12" ht="17.649999999999999">
      <c r="A80" s="234" t="s">
        <v>856</v>
      </c>
      <c r="B80" s="234"/>
      <c r="C80" s="234" t="s">
        <v>61</v>
      </c>
      <c r="D80" s="234" t="s">
        <v>855</v>
      </c>
      <c r="E80" s="234" t="s">
        <v>61</v>
      </c>
      <c r="F80" s="234" t="s">
        <v>826</v>
      </c>
      <c r="G80" s="234" t="s">
        <v>61</v>
      </c>
      <c r="H80" s="234"/>
      <c r="I80" s="234" t="s">
        <v>852</v>
      </c>
      <c r="J80" s="234"/>
      <c r="K80" s="236"/>
      <c r="L80" s="236"/>
    </row>
    <row r="81" spans="1:12" ht="17.649999999999999">
      <c r="A81" s="234" t="s">
        <v>856</v>
      </c>
      <c r="B81" s="234"/>
      <c r="C81" s="234" t="s">
        <v>61</v>
      </c>
      <c r="D81" s="234" t="s">
        <v>855</v>
      </c>
      <c r="E81" s="234" t="s">
        <v>61</v>
      </c>
      <c r="F81" s="234" t="s">
        <v>826</v>
      </c>
      <c r="G81" s="234" t="s">
        <v>61</v>
      </c>
      <c r="H81" s="234"/>
      <c r="I81" s="234" t="s">
        <v>852</v>
      </c>
      <c r="J81" s="234"/>
      <c r="K81" s="236"/>
      <c r="L81" s="236"/>
    </row>
    <row r="82" spans="1:12" ht="17.649999999999999">
      <c r="A82" s="234" t="s">
        <v>856</v>
      </c>
      <c r="B82" s="234"/>
      <c r="C82" s="234" t="s">
        <v>61</v>
      </c>
      <c r="D82" s="234" t="s">
        <v>855</v>
      </c>
      <c r="E82" s="234" t="s">
        <v>61</v>
      </c>
      <c r="F82" s="234" t="s">
        <v>826</v>
      </c>
      <c r="G82" s="234" t="s">
        <v>61</v>
      </c>
      <c r="H82" s="234"/>
      <c r="I82" s="234" t="s">
        <v>852</v>
      </c>
      <c r="J82" s="234"/>
      <c r="K82" s="236"/>
      <c r="L82" s="236"/>
    </row>
    <row r="83" spans="1:12" ht="17.649999999999999">
      <c r="A83" s="234" t="s">
        <v>856</v>
      </c>
      <c r="B83" s="234"/>
      <c r="C83" s="234" t="s">
        <v>61</v>
      </c>
      <c r="D83" s="234" t="s">
        <v>855</v>
      </c>
      <c r="E83" s="234" t="s">
        <v>61</v>
      </c>
      <c r="F83" s="234" t="s">
        <v>826</v>
      </c>
      <c r="G83" s="234" t="s">
        <v>61</v>
      </c>
      <c r="H83" s="234"/>
      <c r="I83" s="234" t="s">
        <v>852</v>
      </c>
      <c r="J83" s="234"/>
      <c r="K83" s="236"/>
      <c r="L83" s="236"/>
    </row>
    <row r="84" spans="1:12" ht="17.649999999999999">
      <c r="A84" s="234" t="s">
        <v>856</v>
      </c>
      <c r="B84" s="234"/>
      <c r="C84" s="234" t="s">
        <v>61</v>
      </c>
      <c r="D84" s="234" t="s">
        <v>855</v>
      </c>
      <c r="E84" s="234" t="s">
        <v>61</v>
      </c>
      <c r="F84" s="234" t="s">
        <v>826</v>
      </c>
      <c r="G84" s="234" t="s">
        <v>61</v>
      </c>
      <c r="H84" s="234"/>
      <c r="I84" s="234" t="s">
        <v>852</v>
      </c>
      <c r="J84" s="234"/>
      <c r="K84" s="236"/>
      <c r="L84" s="236"/>
    </row>
    <row r="85" spans="1:12" ht="17.649999999999999">
      <c r="A85" s="234" t="s">
        <v>856</v>
      </c>
      <c r="B85" s="234"/>
      <c r="C85" s="234" t="s">
        <v>61</v>
      </c>
      <c r="D85" s="234" t="s">
        <v>855</v>
      </c>
      <c r="E85" s="234" t="s">
        <v>61</v>
      </c>
      <c r="F85" s="234" t="s">
        <v>826</v>
      </c>
      <c r="G85" s="234" t="s">
        <v>61</v>
      </c>
      <c r="H85" s="234"/>
      <c r="I85" s="234" t="s">
        <v>852</v>
      </c>
      <c r="J85" s="234"/>
      <c r="K85" s="236"/>
      <c r="L85" s="236"/>
    </row>
    <row r="86" spans="1:12" ht="17.649999999999999">
      <c r="A86" s="234" t="s">
        <v>856</v>
      </c>
      <c r="B86" s="234"/>
      <c r="C86" s="234" t="s">
        <v>61</v>
      </c>
      <c r="D86" s="234" t="s">
        <v>855</v>
      </c>
      <c r="E86" s="234" t="s">
        <v>61</v>
      </c>
      <c r="F86" s="234" t="s">
        <v>826</v>
      </c>
      <c r="G86" s="234" t="s">
        <v>61</v>
      </c>
      <c r="H86" s="234"/>
      <c r="I86" s="234" t="s">
        <v>852</v>
      </c>
      <c r="J86" s="234"/>
      <c r="K86" s="236"/>
      <c r="L86" s="236"/>
    </row>
    <row r="87" spans="1:12" ht="17.649999999999999">
      <c r="A87" s="234" t="s">
        <v>856</v>
      </c>
      <c r="B87" s="234"/>
      <c r="C87" s="234" t="s">
        <v>61</v>
      </c>
      <c r="D87" s="234" t="s">
        <v>855</v>
      </c>
      <c r="E87" s="234" t="s">
        <v>61</v>
      </c>
      <c r="F87" s="234" t="s">
        <v>826</v>
      </c>
      <c r="G87" s="234" t="s">
        <v>61</v>
      </c>
      <c r="H87" s="234"/>
      <c r="I87" s="234" t="s">
        <v>852</v>
      </c>
      <c r="J87" s="234"/>
      <c r="K87" s="236"/>
      <c r="L87" s="236"/>
    </row>
    <row r="88" spans="1:12" ht="17.649999999999999">
      <c r="A88" s="234" t="s">
        <v>856</v>
      </c>
      <c r="B88" s="234"/>
      <c r="C88" s="234" t="s">
        <v>61</v>
      </c>
      <c r="D88" s="234" t="s">
        <v>855</v>
      </c>
      <c r="E88" s="234" t="s">
        <v>61</v>
      </c>
      <c r="F88" s="234" t="s">
        <v>826</v>
      </c>
      <c r="G88" s="234" t="s">
        <v>61</v>
      </c>
      <c r="H88" s="234"/>
      <c r="I88" s="234" t="s">
        <v>852</v>
      </c>
      <c r="J88" s="234"/>
      <c r="K88" s="236"/>
      <c r="L88" s="236"/>
    </row>
    <row r="89" spans="1:12" ht="17.649999999999999">
      <c r="A89" s="234" t="s">
        <v>856</v>
      </c>
      <c r="B89" s="234"/>
      <c r="C89" s="234" t="s">
        <v>61</v>
      </c>
      <c r="D89" s="234" t="s">
        <v>855</v>
      </c>
      <c r="E89" s="234" t="s">
        <v>61</v>
      </c>
      <c r="F89" s="234" t="s">
        <v>826</v>
      </c>
      <c r="G89" s="234" t="s">
        <v>61</v>
      </c>
      <c r="H89" s="234"/>
      <c r="I89" s="234" t="s">
        <v>852</v>
      </c>
      <c r="J89" s="234"/>
      <c r="K89" s="236"/>
      <c r="L89" s="236"/>
    </row>
    <row r="90" spans="1:12" ht="17.649999999999999">
      <c r="A90" s="234" t="s">
        <v>856</v>
      </c>
      <c r="B90" s="234"/>
      <c r="C90" s="234" t="s">
        <v>61</v>
      </c>
      <c r="D90" s="234" t="s">
        <v>855</v>
      </c>
      <c r="E90" s="234" t="s">
        <v>61</v>
      </c>
      <c r="F90" s="234" t="s">
        <v>826</v>
      </c>
      <c r="G90" s="234" t="s">
        <v>61</v>
      </c>
      <c r="H90" s="234"/>
      <c r="I90" s="234" t="s">
        <v>852</v>
      </c>
      <c r="J90" s="234"/>
      <c r="K90" s="236"/>
      <c r="L90" s="236"/>
    </row>
    <row r="91" spans="1:12" ht="17.649999999999999">
      <c r="A91" s="234" t="s">
        <v>856</v>
      </c>
      <c r="B91" s="234"/>
      <c r="C91" s="234" t="s">
        <v>61</v>
      </c>
      <c r="D91" s="234" t="s">
        <v>855</v>
      </c>
      <c r="E91" s="234" t="s">
        <v>61</v>
      </c>
      <c r="F91" s="234" t="s">
        <v>826</v>
      </c>
      <c r="G91" s="234" t="s">
        <v>61</v>
      </c>
      <c r="H91" s="234"/>
      <c r="I91" s="234" t="s">
        <v>852</v>
      </c>
      <c r="J91" s="234"/>
      <c r="K91" s="236"/>
      <c r="L91" s="236"/>
    </row>
    <row r="92" spans="1:12" ht="17.649999999999999">
      <c r="A92" s="234" t="s">
        <v>856</v>
      </c>
      <c r="B92" s="234"/>
      <c r="C92" s="234" t="s">
        <v>61</v>
      </c>
      <c r="D92" s="234" t="s">
        <v>855</v>
      </c>
      <c r="E92" s="234" t="s">
        <v>61</v>
      </c>
      <c r="F92" s="234" t="s">
        <v>826</v>
      </c>
      <c r="G92" s="234" t="s">
        <v>61</v>
      </c>
      <c r="H92" s="234"/>
      <c r="I92" s="234" t="s">
        <v>852</v>
      </c>
      <c r="J92" s="234"/>
      <c r="K92" s="236"/>
      <c r="L92" s="236"/>
    </row>
    <row r="93" spans="1:12" ht="17.649999999999999">
      <c r="A93" s="234" t="s">
        <v>856</v>
      </c>
      <c r="B93" s="234"/>
      <c r="C93" s="234" t="s">
        <v>61</v>
      </c>
      <c r="D93" s="234" t="s">
        <v>855</v>
      </c>
      <c r="E93" s="234" t="s">
        <v>61</v>
      </c>
      <c r="F93" s="234" t="s">
        <v>826</v>
      </c>
      <c r="G93" s="234" t="s">
        <v>61</v>
      </c>
      <c r="H93" s="234"/>
      <c r="I93" s="234" t="s">
        <v>852</v>
      </c>
      <c r="J93" s="234"/>
      <c r="K93" s="236"/>
      <c r="L93" s="236"/>
    </row>
    <row r="94" spans="1:12" ht="17.649999999999999">
      <c r="A94" s="234" t="s">
        <v>856</v>
      </c>
      <c r="B94" s="234"/>
      <c r="C94" s="234" t="s">
        <v>61</v>
      </c>
      <c r="D94" s="234" t="s">
        <v>855</v>
      </c>
      <c r="E94" s="234" t="s">
        <v>61</v>
      </c>
      <c r="F94" s="234" t="s">
        <v>826</v>
      </c>
      <c r="G94" s="234" t="s">
        <v>61</v>
      </c>
      <c r="H94" s="234"/>
      <c r="I94" s="234" t="s">
        <v>852</v>
      </c>
      <c r="J94" s="234"/>
      <c r="K94" s="236"/>
      <c r="L94" s="236"/>
    </row>
    <row r="95" spans="1:12" ht="17.649999999999999">
      <c r="A95" s="234" t="s">
        <v>856</v>
      </c>
      <c r="B95" s="234"/>
      <c r="C95" s="234" t="s">
        <v>61</v>
      </c>
      <c r="D95" s="234" t="s">
        <v>855</v>
      </c>
      <c r="E95" s="234" t="s">
        <v>61</v>
      </c>
      <c r="F95" s="234" t="s">
        <v>826</v>
      </c>
      <c r="G95" s="234" t="s">
        <v>61</v>
      </c>
      <c r="H95" s="234"/>
      <c r="I95" s="234" t="s">
        <v>852</v>
      </c>
      <c r="J95" s="234"/>
      <c r="K95" s="236"/>
      <c r="L95" s="236"/>
    </row>
    <row r="96" spans="1:12" ht="17.649999999999999">
      <c r="A96" s="234" t="s">
        <v>856</v>
      </c>
      <c r="B96" s="234"/>
      <c r="C96" s="234" t="s">
        <v>61</v>
      </c>
      <c r="D96" s="234" t="s">
        <v>855</v>
      </c>
      <c r="E96" s="234" t="s">
        <v>61</v>
      </c>
      <c r="F96" s="234" t="s">
        <v>826</v>
      </c>
      <c r="G96" s="234" t="s">
        <v>61</v>
      </c>
      <c r="H96" s="234"/>
      <c r="I96" s="234" t="s">
        <v>852</v>
      </c>
      <c r="J96" s="234"/>
      <c r="K96" s="236"/>
      <c r="L96" s="236"/>
    </row>
    <row r="97" spans="1:12" ht="17.649999999999999">
      <c r="A97" s="234" t="s">
        <v>856</v>
      </c>
      <c r="B97" s="234"/>
      <c r="C97" s="234" t="s">
        <v>61</v>
      </c>
      <c r="D97" s="234" t="s">
        <v>855</v>
      </c>
      <c r="E97" s="234" t="s">
        <v>61</v>
      </c>
      <c r="F97" s="234" t="s">
        <v>826</v>
      </c>
      <c r="G97" s="234" t="s">
        <v>61</v>
      </c>
      <c r="H97" s="234"/>
      <c r="I97" s="234" t="s">
        <v>852</v>
      </c>
      <c r="J97" s="234"/>
      <c r="K97" s="236"/>
      <c r="L97" s="236"/>
    </row>
    <row r="98" spans="1:12" ht="17.649999999999999">
      <c r="A98" s="234" t="s">
        <v>856</v>
      </c>
      <c r="B98" s="234"/>
      <c r="C98" s="234" t="s">
        <v>61</v>
      </c>
      <c r="D98" s="234" t="s">
        <v>855</v>
      </c>
      <c r="E98" s="234" t="s">
        <v>61</v>
      </c>
      <c r="F98" s="234" t="s">
        <v>826</v>
      </c>
      <c r="G98" s="234" t="s">
        <v>61</v>
      </c>
      <c r="H98" s="234"/>
      <c r="I98" s="234" t="s">
        <v>852</v>
      </c>
      <c r="J98" s="234"/>
      <c r="K98" s="236"/>
      <c r="L98" s="236"/>
    </row>
    <row r="99" spans="1:12" ht="17.649999999999999">
      <c r="A99" s="234" t="s">
        <v>856</v>
      </c>
      <c r="B99" s="234"/>
      <c r="C99" s="234" t="s">
        <v>61</v>
      </c>
      <c r="D99" s="234" t="s">
        <v>855</v>
      </c>
      <c r="E99" s="234" t="s">
        <v>61</v>
      </c>
      <c r="F99" s="234" t="s">
        <v>826</v>
      </c>
      <c r="G99" s="234" t="s">
        <v>61</v>
      </c>
      <c r="H99" s="234"/>
      <c r="I99" s="234" t="s">
        <v>852</v>
      </c>
      <c r="J99" s="234"/>
      <c r="K99" s="236"/>
      <c r="L99" s="236"/>
    </row>
    <row r="100" spans="1:12" ht="17.649999999999999">
      <c r="A100" s="234" t="s">
        <v>856</v>
      </c>
      <c r="B100" s="234"/>
      <c r="C100" s="234" t="s">
        <v>61</v>
      </c>
      <c r="D100" s="234" t="s">
        <v>855</v>
      </c>
      <c r="E100" s="234" t="s">
        <v>61</v>
      </c>
      <c r="F100" s="234" t="s">
        <v>826</v>
      </c>
      <c r="G100" s="234" t="s">
        <v>61</v>
      </c>
      <c r="H100" s="234"/>
      <c r="I100" s="234" t="s">
        <v>852</v>
      </c>
      <c r="J100" s="234"/>
      <c r="K100" s="236"/>
      <c r="L100" s="236"/>
    </row>
  </sheetData>
  <sheetProtection algorithmName="SHA-512" hashValue="PsDd34QS013crgtj84STaNYkrTL9r1SjSUFu+g3LtQVtQiznARoZXsBwfpc2jQJ5cLzkvWxDxKVwhd9Og7k0WA==" saltValue="SoAevQ5xmMbl3lq+gP6VAA==" spinCount="100000" sheet="1" objects="1" scenarios="1"/>
  <mergeCells count="1">
    <mergeCell ref="E2:G2"/>
  </mergeCells>
  <phoneticPr fontId="1"/>
  <dataValidations count="7">
    <dataValidation type="list" allowBlank="1" showInputMessage="1" showErrorMessage="1" sqref="A7:A100" xr:uid="{182C021F-AA02-4384-82EE-199F6BA58184}">
      <formula1>"副代表者/Deputy Representative,共同研究者/Researcher"</formula1>
    </dataValidation>
    <dataValidation type="textLength" operator="equal" allowBlank="1" showInputMessage="1" showErrorMessage="1" error="5桁で入力してください" sqref="L6:L100" xr:uid="{CA5DBA1B-2FE1-40AD-B05C-60DAD6DF84E4}">
      <formula1>5</formula1>
    </dataValidation>
    <dataValidation type="list" showInputMessage="1" showErrorMessage="1" sqref="E6:E100" xr:uid="{91BD60A6-8F36-465F-9CDE-DF981234D07F}">
      <formula1>$Q$2:$Q$4</formula1>
    </dataValidation>
    <dataValidation type="list" allowBlank="1" showInputMessage="1" showErrorMessage="1" sqref="C6:C100" xr:uid="{1A259D9C-F6EA-4602-B45B-448478A4743C}">
      <formula1>$P$2:$P$3</formula1>
    </dataValidation>
    <dataValidation type="list" showInputMessage="1" showErrorMessage="1" sqref="F6:F100" xr:uid="{F88D57B5-40AF-4A11-BC9E-0BF03A379425}">
      <formula1>$R$2:$R$6</formula1>
    </dataValidation>
    <dataValidation type="list" errorStyle="information" allowBlank="1" showInputMessage="1" sqref="H6:H100" xr:uid="{1C984015-22D2-4DE1-BE8F-E5FCFE610062}">
      <formula1>$T$2:$T$10</formula1>
    </dataValidation>
    <dataValidation type="list" showInputMessage="1" showErrorMessage="1" sqref="G7:G100" xr:uid="{72F90C87-1041-4C9D-95BD-9F3D31509390}">
      <formula1>IF(A7&lt;&gt;"副代表者/Deputy Representative",$S$2:$S$4,$S$2:$S$2)</formula1>
    </dataValidation>
  </dataValidations>
  <pageMargins left="0.51181102362204722" right="0.31496062992125984" top="0.55118110236220474" bottom="0.55118110236220474" header="0.31496062992125984" footer="0.31496062992125984"/>
  <pageSetup paperSize="9" scale="53" fitToHeight="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3E6CC-9912-44CE-AC28-DD295DCA4BA9}">
  <dimension ref="A1:E9"/>
  <sheetViews>
    <sheetView workbookViewId="0">
      <selection activeCell="H11" sqref="H11"/>
    </sheetView>
  </sheetViews>
  <sheetFormatPr defaultColWidth="8.875" defaultRowHeight="17.649999999999999"/>
  <cols>
    <col min="1" max="2" width="4.625" customWidth="1"/>
  </cols>
  <sheetData>
    <row r="1" spans="1:5" ht="19.899999999999999">
      <c r="A1" s="356" t="s">
        <v>31</v>
      </c>
    </row>
    <row r="2" spans="1:5" ht="19.899999999999999">
      <c r="A2" s="436" t="s">
        <v>32</v>
      </c>
    </row>
    <row r="3" spans="1:5">
      <c r="B3" t="s">
        <v>33</v>
      </c>
      <c r="E3" t="s">
        <v>34</v>
      </c>
    </row>
    <row r="4" spans="1:5">
      <c r="A4" s="357"/>
      <c r="C4" t="s">
        <v>34</v>
      </c>
    </row>
    <row r="5" spans="1:5">
      <c r="A5" s="357"/>
    </row>
    <row r="6" spans="1:5">
      <c r="A6" s="357"/>
    </row>
    <row r="7" spans="1:5">
      <c r="A7" s="357"/>
    </row>
    <row r="8" spans="1:5">
      <c r="A8" s="357"/>
    </row>
    <row r="9" spans="1:5">
      <c r="A9" s="358"/>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10"/>
  <sheetViews>
    <sheetView tabSelected="1" workbookViewId="0">
      <selection activeCell="A5" sqref="A5"/>
    </sheetView>
  </sheetViews>
  <sheetFormatPr defaultColWidth="8.625" defaultRowHeight="17.649999999999999"/>
  <cols>
    <col min="1" max="1" width="101.125" customWidth="1"/>
    <col min="2" max="2" width="14.5" customWidth="1"/>
  </cols>
  <sheetData>
    <row r="1" spans="1:2" s="1" customFormat="1" ht="24" customHeight="1">
      <c r="A1" s="13" t="s">
        <v>35</v>
      </c>
      <c r="B1" s="438" t="s">
        <v>36</v>
      </c>
    </row>
    <row r="2" spans="1:2" s="1" customFormat="1" ht="24" customHeight="1">
      <c r="A2" s="13" t="s">
        <v>37</v>
      </c>
      <c r="B2" s="13" t="s">
        <v>34</v>
      </c>
    </row>
    <row r="3" spans="1:2" s="1" customFormat="1" ht="17.850000000000001" customHeight="1">
      <c r="A3" s="2"/>
      <c r="B3" s="2" t="s">
        <v>34</v>
      </c>
    </row>
    <row r="4" spans="1:2" ht="52.5" customHeight="1">
      <c r="A4" s="36" t="s">
        <v>38</v>
      </c>
    </row>
    <row r="5" spans="1:2">
      <c r="B5" t="s">
        <v>34</v>
      </c>
    </row>
    <row r="6" spans="1:2" s="1" customFormat="1" ht="17.850000000000001" customHeight="1">
      <c r="A6" s="4" t="s">
        <v>39</v>
      </c>
    </row>
    <row r="7" spans="1:2" s="1" customFormat="1" ht="319.5" customHeight="1">
      <c r="A7" s="20" t="s">
        <v>40</v>
      </c>
      <c r="B7" s="1" t="s">
        <v>34</v>
      </c>
    </row>
    <row r="8" spans="1:2" s="1" customFormat="1" ht="15.6" customHeight="1">
      <c r="A8" s="22" t="s">
        <v>34</v>
      </c>
    </row>
    <row r="9" spans="1:2" s="1" customFormat="1" ht="17.850000000000001" customHeight="1">
      <c r="A9" s="4" t="s">
        <v>41</v>
      </c>
    </row>
    <row r="10" spans="1:2" ht="401.1" customHeight="1">
      <c r="A10" s="239" t="s">
        <v>42</v>
      </c>
    </row>
  </sheetData>
  <phoneticPr fontId="1"/>
  <pageMargins left="0.70866141732283472" right="0.70866141732283472" top="0.74803149606299213" bottom="0.74803149606299213" header="0.31496062992125984" footer="0.31496062992125984"/>
  <pageSetup paperSize="9" scale="85"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W394"/>
  <sheetViews>
    <sheetView zoomScale="85" zoomScaleNormal="85" workbookViewId="0">
      <selection activeCell="B7" sqref="B7"/>
    </sheetView>
  </sheetViews>
  <sheetFormatPr defaultColWidth="9" defaultRowHeight="17.649999999999999"/>
  <cols>
    <col min="1" max="1" width="41.875" style="1" customWidth="1"/>
    <col min="2" max="2" width="38.625" style="1" customWidth="1"/>
    <col min="3" max="3" width="49.625" style="1" customWidth="1"/>
    <col min="4" max="4" width="48.5" style="1" customWidth="1"/>
    <col min="5" max="5" width="30.125" style="1" hidden="1" customWidth="1"/>
    <col min="6" max="6" width="22.625" style="1" hidden="1" customWidth="1"/>
    <col min="7" max="8" width="9" style="1" hidden="1" customWidth="1"/>
    <col min="9" max="9" width="55.125" style="1" hidden="1" customWidth="1"/>
    <col min="10" max="10" width="21.625" style="1" hidden="1" customWidth="1"/>
    <col min="11" max="19" width="9" style="1" hidden="1" customWidth="1"/>
    <col min="20" max="20" width="9" style="1" customWidth="1"/>
    <col min="21" max="16384" width="9" style="1"/>
  </cols>
  <sheetData>
    <row r="1" spans="1:11" ht="24" customHeight="1">
      <c r="A1" s="13" t="s">
        <v>43</v>
      </c>
      <c r="B1" s="13"/>
      <c r="D1" s="439" t="s">
        <v>36</v>
      </c>
      <c r="E1" s="43" t="s">
        <v>44</v>
      </c>
    </row>
    <row r="2" spans="1:11" ht="24" customHeight="1">
      <c r="A2" s="13" t="s">
        <v>45</v>
      </c>
      <c r="B2" s="13"/>
      <c r="I2" s="310"/>
      <c r="J2" s="310"/>
      <c r="K2" s="310"/>
    </row>
    <row r="3" spans="1:11" ht="63" customHeight="1" thickBot="1">
      <c r="A3" s="66"/>
      <c r="B3" s="65" t="str" cm="1">
        <f t="array" aca="1" ref="B3" ca="1">IF(SUM(LEN(C57:C66))&gt;0,"利用資源の申請に誤りがありますので修正ください / Some error occur in resource application sheets. Please fix.","")</f>
        <v/>
      </c>
      <c r="I3" s="310"/>
      <c r="J3" s="310"/>
      <c r="K3" s="310"/>
    </row>
    <row r="4" spans="1:11" ht="17.850000000000001" customHeight="1">
      <c r="A4" s="12" t="s">
        <v>46</v>
      </c>
      <c r="E4" s="311" t="s">
        <v>47</v>
      </c>
      <c r="I4" s="310"/>
      <c r="J4" s="310"/>
      <c r="K4" s="310"/>
    </row>
    <row r="5" spans="1:11" ht="17.850000000000001" customHeight="1">
      <c r="A5" s="11" t="s">
        <v>48</v>
      </c>
      <c r="B5" s="10"/>
      <c r="C5" s="10"/>
      <c r="D5" s="10"/>
      <c r="E5" s="37" t="s">
        <v>49</v>
      </c>
      <c r="I5" s="310"/>
      <c r="J5" s="310"/>
      <c r="K5" s="310"/>
    </row>
    <row r="6" spans="1:11" ht="29.25" customHeight="1">
      <c r="A6" s="67" t="s">
        <v>50</v>
      </c>
      <c r="B6" s="68"/>
      <c r="C6" s="28"/>
      <c r="I6" s="310"/>
      <c r="J6" s="310"/>
      <c r="K6" s="310"/>
    </row>
    <row r="7" spans="1:11" ht="33">
      <c r="A7" s="69" t="s">
        <v>51</v>
      </c>
      <c r="B7" s="70"/>
      <c r="C7" s="28" t="str">
        <f>IF(AND(B6&lt;&gt;"",B7=""),"←入力してください/Please input.","")</f>
        <v/>
      </c>
      <c r="E7" s="305"/>
      <c r="I7" s="310"/>
      <c r="J7" s="310"/>
      <c r="K7" s="310"/>
    </row>
    <row r="8" spans="1:11" ht="141.6" customHeight="1" thickBot="1">
      <c r="A8" s="446" t="s">
        <v>52</v>
      </c>
      <c r="B8" s="521"/>
      <c r="C8" s="1" t="s">
        <v>53</v>
      </c>
      <c r="D8" s="28" t="str">
        <f>IF(AND($B$7&lt;&gt;"",B8=""),"←入力してください/Please input.","")</f>
        <v/>
      </c>
      <c r="E8" s="305"/>
      <c r="I8" s="310"/>
      <c r="J8" s="310"/>
      <c r="K8" s="310"/>
    </row>
    <row r="9" spans="1:11" ht="32.450000000000003" customHeight="1">
      <c r="A9" s="71" t="s">
        <v>54</v>
      </c>
      <c r="B9" s="72"/>
      <c r="C9" s="28" t="str">
        <f>IF(AND($B$7&lt;&gt;"",B9=""),"←入力してください/Please input.","")</f>
        <v/>
      </c>
      <c r="E9" s="440" t="s">
        <v>55</v>
      </c>
      <c r="F9" s="442" t="s">
        <v>56</v>
      </c>
      <c r="I9" s="310"/>
      <c r="J9" s="310"/>
      <c r="K9" s="310"/>
    </row>
    <row r="10" spans="1:11" ht="47.1" customHeight="1">
      <c r="A10" s="517" t="s">
        <v>57</v>
      </c>
      <c r="B10" s="518"/>
      <c r="C10" s="28" t="str">
        <f>IF(AND($B$7&lt;&gt;"",B10=""),"←入力してください/Please input.","")</f>
        <v/>
      </c>
      <c r="E10" s="441" t="s">
        <v>58</v>
      </c>
      <c r="F10" s="443" t="s">
        <v>59</v>
      </c>
      <c r="I10" s="310"/>
      <c r="J10" s="310"/>
      <c r="K10" s="310"/>
    </row>
    <row r="11" spans="1:11" ht="72.75" customHeight="1">
      <c r="A11" s="513" t="s">
        <v>60</v>
      </c>
      <c r="B11" s="68" t="s">
        <v>61</v>
      </c>
      <c r="C11" s="516" t="s">
        <v>62</v>
      </c>
      <c r="E11" s="306"/>
      <c r="F11" s="445" t="s">
        <v>63</v>
      </c>
      <c r="I11" s="310"/>
      <c r="J11" s="310"/>
      <c r="K11" s="310"/>
    </row>
    <row r="12" spans="1:11" ht="54.6" customHeight="1">
      <c r="A12" s="308" t="s">
        <v>64</v>
      </c>
      <c r="B12" s="70" t="s">
        <v>61</v>
      </c>
      <c r="E12" s="306"/>
      <c r="F12" s="444" t="s">
        <v>65</v>
      </c>
      <c r="I12" s="310"/>
      <c r="J12" s="310"/>
      <c r="K12" s="310"/>
    </row>
    <row r="13" spans="1:11" ht="54.6" customHeight="1">
      <c r="A13" s="308" t="s">
        <v>66</v>
      </c>
      <c r="B13" s="70" t="s">
        <v>61</v>
      </c>
      <c r="E13" s="306"/>
      <c r="I13" s="310"/>
      <c r="J13" s="310"/>
      <c r="K13" s="310"/>
    </row>
    <row r="14" spans="1:11" ht="54.6" customHeight="1">
      <c r="A14" s="514" t="s">
        <v>67</v>
      </c>
      <c r="B14" s="515" t="s">
        <v>61</v>
      </c>
      <c r="E14" s="306"/>
      <c r="I14" s="310"/>
    </row>
    <row r="15" spans="1:11" ht="32.450000000000003" customHeight="1">
      <c r="A15" s="519" t="s">
        <v>68</v>
      </c>
      <c r="B15" s="520"/>
      <c r="C15" s="28" t="str">
        <f>IF(AND($B$7&lt;&gt;"",B15=""),"←入力してください/Please input.","")</f>
        <v/>
      </c>
      <c r="E15" s="307"/>
      <c r="I15" s="310"/>
    </row>
    <row r="16" spans="1:11" ht="50.1" customHeight="1">
      <c r="A16" s="509" t="s">
        <v>69</v>
      </c>
      <c r="B16" s="73"/>
      <c r="C16" s="28" t="str">
        <f>IF(AND($B$15="継続課題/Continued project",B16=""),"←入力してください/Please input.","")</f>
        <v/>
      </c>
      <c r="I16" s="310"/>
    </row>
    <row r="17" spans="1:23" ht="102" customHeight="1">
      <c r="A17" s="633" t="s">
        <v>70</v>
      </c>
      <c r="B17" s="502"/>
      <c r="C17" s="506"/>
      <c r="D17" s="219" t="str">
        <f>IF(AND(B7&lt;&gt;"",OR(B17="",C17="")),"←入力してください/Please input."&amp;CHAR(10)&amp;E17,E17)</f>
        <v>科研費審査区分は下記を参照ください．To obtain the relationship between Japanese and English keywords of the applied field, please refer to the following file. https://www.jsps.go.jp/file/storage/grants/j-grantsinaid/03_keikaku/data/r05/R5_shinsakubunhyo_all.pdf</v>
      </c>
      <c r="E17" s="219" t="s">
        <v>71</v>
      </c>
      <c r="I17" s="310"/>
    </row>
    <row r="18" spans="1:23" ht="59.25" customHeight="1">
      <c r="A18" s="74" t="s">
        <v>72</v>
      </c>
      <c r="B18" s="312"/>
      <c r="C18" s="507"/>
      <c r="E18" s="215"/>
      <c r="I18" s="310" t="s">
        <v>73</v>
      </c>
    </row>
    <row r="19" spans="1:23" ht="59.25" customHeight="1">
      <c r="A19" s="74" t="s">
        <v>74</v>
      </c>
      <c r="B19" s="312"/>
      <c r="C19" s="507"/>
      <c r="D19" s="5"/>
      <c r="E19" s="215"/>
      <c r="I19" t="s">
        <v>75</v>
      </c>
      <c r="J19" t="s">
        <v>76</v>
      </c>
      <c r="K19" t="s">
        <v>77</v>
      </c>
      <c r="L19" t="s">
        <v>78</v>
      </c>
      <c r="M19" t="s">
        <v>79</v>
      </c>
      <c r="N19" t="s">
        <v>80</v>
      </c>
      <c r="O19" t="s">
        <v>81</v>
      </c>
      <c r="P19" t="s">
        <v>82</v>
      </c>
      <c r="Q19" t="s">
        <v>83</v>
      </c>
      <c r="R19" t="s">
        <v>84</v>
      </c>
    </row>
    <row r="20" spans="1:23" ht="59.25" customHeight="1">
      <c r="A20" s="74" t="s">
        <v>85</v>
      </c>
      <c r="B20" s="312"/>
      <c r="C20" s="507"/>
      <c r="D20" s="5"/>
      <c r="E20" s="215"/>
      <c r="I20" t="s">
        <v>86</v>
      </c>
      <c r="J20" t="s">
        <v>87</v>
      </c>
      <c r="K20" t="s">
        <v>88</v>
      </c>
      <c r="L20" t="s">
        <v>89</v>
      </c>
      <c r="M20" t="s">
        <v>90</v>
      </c>
      <c r="N20" t="s">
        <v>91</v>
      </c>
      <c r="O20" t="s">
        <v>92</v>
      </c>
      <c r="P20" t="s">
        <v>93</v>
      </c>
      <c r="Q20" t="s">
        <v>94</v>
      </c>
      <c r="R20" t="s">
        <v>95</v>
      </c>
    </row>
    <row r="21" spans="1:23" ht="59.25" customHeight="1">
      <c r="A21" s="503" t="s">
        <v>96</v>
      </c>
      <c r="B21" s="504"/>
      <c r="C21" s="508"/>
      <c r="D21" s="5"/>
      <c r="E21" s="215"/>
      <c r="I21" t="s">
        <v>97</v>
      </c>
      <c r="J21" t="s">
        <v>98</v>
      </c>
      <c r="K21" t="s">
        <v>99</v>
      </c>
      <c r="L21" t="s">
        <v>100</v>
      </c>
      <c r="M21" t="s">
        <v>101</v>
      </c>
      <c r="N21" t="s">
        <v>102</v>
      </c>
      <c r="O21" t="s">
        <v>103</v>
      </c>
      <c r="P21" t="s">
        <v>104</v>
      </c>
      <c r="Q21"/>
      <c r="R21"/>
    </row>
    <row r="22" spans="1:23" ht="60.75" customHeight="1">
      <c r="A22" s="510" t="s">
        <v>105</v>
      </c>
      <c r="B22" s="511"/>
      <c r="C22" s="512"/>
      <c r="D22" s="5"/>
      <c r="E22" s="220"/>
      <c r="I22" t="s">
        <v>106</v>
      </c>
      <c r="J22" t="s">
        <v>107</v>
      </c>
      <c r="K22" t="s">
        <v>108</v>
      </c>
      <c r="L22" t="s">
        <v>109</v>
      </c>
      <c r="M22" t="s">
        <v>110</v>
      </c>
      <c r="N22" t="s">
        <v>111</v>
      </c>
      <c r="O22" t="s">
        <v>112</v>
      </c>
      <c r="P22"/>
      <c r="Q22"/>
      <c r="R22"/>
    </row>
    <row r="23" spans="1:23" ht="59.25" customHeight="1">
      <c r="A23" s="503" t="s">
        <v>113</v>
      </c>
      <c r="B23" s="504"/>
      <c r="C23" s="505"/>
      <c r="E23" s="220"/>
      <c r="I23" t="s">
        <v>114</v>
      </c>
      <c r="J23" t="s">
        <v>115</v>
      </c>
      <c r="K23" t="s">
        <v>116</v>
      </c>
      <c r="L23" t="s">
        <v>117</v>
      </c>
      <c r="M23" t="s">
        <v>118</v>
      </c>
      <c r="N23" t="s">
        <v>119</v>
      </c>
      <c r="O23" t="s">
        <v>120</v>
      </c>
      <c r="P23" t="s">
        <v>121</v>
      </c>
      <c r="Q23"/>
      <c r="R23"/>
    </row>
    <row r="24" spans="1:23" ht="9" customHeight="1">
      <c r="A24" s="2"/>
      <c r="B24" s="2"/>
      <c r="C24" s="21"/>
      <c r="D24" s="21"/>
      <c r="E24" s="21"/>
      <c r="F24" s="21"/>
      <c r="G24" s="21"/>
      <c r="H24" s="21"/>
      <c r="I24" t="s">
        <v>122</v>
      </c>
      <c r="J24" t="s">
        <v>123</v>
      </c>
      <c r="K24" t="s">
        <v>124</v>
      </c>
      <c r="L24" t="s">
        <v>110</v>
      </c>
      <c r="M24" t="s">
        <v>112</v>
      </c>
      <c r="N24"/>
      <c r="O24"/>
      <c r="P24"/>
      <c r="Q24"/>
      <c r="R24"/>
      <c r="S24" s="21"/>
      <c r="T24" s="21"/>
      <c r="U24" s="21"/>
      <c r="V24" s="21"/>
      <c r="W24" s="21"/>
    </row>
    <row r="25" spans="1:23" ht="17.850000000000001" customHeight="1">
      <c r="A25" s="2" t="s">
        <v>125</v>
      </c>
      <c r="B25" s="2"/>
      <c r="I25" t="s">
        <v>126</v>
      </c>
      <c r="J25" t="s">
        <v>127</v>
      </c>
      <c r="K25" t="s">
        <v>128</v>
      </c>
      <c r="L25" t="s">
        <v>129</v>
      </c>
      <c r="M25" t="s">
        <v>130</v>
      </c>
      <c r="N25" t="s">
        <v>131</v>
      </c>
      <c r="O25" t="s">
        <v>132</v>
      </c>
      <c r="P25" t="s">
        <v>133</v>
      </c>
      <c r="Q25" t="s">
        <v>134</v>
      </c>
      <c r="R25" t="s">
        <v>135</v>
      </c>
    </row>
    <row r="26" spans="1:23" ht="55.5" customHeight="1">
      <c r="A26" s="14" t="s">
        <v>136</v>
      </c>
      <c r="B26" s="30"/>
      <c r="I26" t="s">
        <v>137</v>
      </c>
      <c r="J26" t="s">
        <v>138</v>
      </c>
      <c r="K26" t="s">
        <v>139</v>
      </c>
      <c r="L26" t="s">
        <v>140</v>
      </c>
      <c r="M26" t="s">
        <v>111</v>
      </c>
      <c r="N26" t="s">
        <v>112</v>
      </c>
      <c r="O26"/>
      <c r="P26"/>
      <c r="Q26"/>
      <c r="R26"/>
    </row>
    <row r="27" spans="1:23" ht="50.25" customHeight="1">
      <c r="A27" s="15" t="s">
        <v>141</v>
      </c>
      <c r="B27" s="218"/>
      <c r="C27" s="28" t="str">
        <f>IF(AND($B$7&lt;&gt;"",B27=""),"←入力してください/Please input.","")</f>
        <v/>
      </c>
      <c r="I27" t="s">
        <v>142</v>
      </c>
      <c r="J27" t="s">
        <v>143</v>
      </c>
      <c r="K27" t="s">
        <v>144</v>
      </c>
      <c r="L27" t="s">
        <v>145</v>
      </c>
      <c r="M27" t="s">
        <v>146</v>
      </c>
      <c r="N27" t="s">
        <v>147</v>
      </c>
      <c r="O27" t="s">
        <v>148</v>
      </c>
      <c r="P27" t="s">
        <v>149</v>
      </c>
      <c r="Q27" t="s">
        <v>150</v>
      </c>
      <c r="R27" t="s">
        <v>95</v>
      </c>
    </row>
    <row r="28" spans="1:23" ht="17.850000000000001" customHeight="1">
      <c r="A28" s="16" t="s">
        <v>151</v>
      </c>
      <c r="B28" s="31"/>
      <c r="I28" t="s">
        <v>152</v>
      </c>
      <c r="J28" t="s">
        <v>153</v>
      </c>
      <c r="K28" t="s">
        <v>154</v>
      </c>
      <c r="L28" t="s">
        <v>155</v>
      </c>
      <c r="M28" t="s">
        <v>156</v>
      </c>
      <c r="N28" t="s">
        <v>157</v>
      </c>
      <c r="O28"/>
      <c r="P28"/>
      <c r="Q28"/>
      <c r="R28"/>
    </row>
    <row r="29" spans="1:23" ht="17.850000000000001" customHeight="1">
      <c r="A29" s="16" t="s">
        <v>158</v>
      </c>
      <c r="B29" s="31"/>
      <c r="C29" s="28" t="str">
        <f t="shared" ref="C29:C34" si="0">IF(AND($B$7&lt;&gt;"",B29=""),"←入力してください/Please input.","")</f>
        <v/>
      </c>
      <c r="I29" t="s">
        <v>159</v>
      </c>
      <c r="J29" t="s">
        <v>160</v>
      </c>
      <c r="K29" t="s">
        <v>161</v>
      </c>
      <c r="L29"/>
      <c r="M29"/>
      <c r="N29"/>
      <c r="O29"/>
      <c r="P29"/>
      <c r="Q29"/>
      <c r="R29"/>
    </row>
    <row r="30" spans="1:23" ht="17.850000000000001" customHeight="1">
      <c r="A30" s="16" t="s">
        <v>162</v>
      </c>
      <c r="B30" s="31"/>
      <c r="C30" s="28" t="str">
        <f t="shared" si="0"/>
        <v/>
      </c>
      <c r="I30" t="s">
        <v>163</v>
      </c>
      <c r="J30" t="s">
        <v>164</v>
      </c>
      <c r="K30" t="s">
        <v>165</v>
      </c>
      <c r="L30" t="s">
        <v>166</v>
      </c>
      <c r="M30" t="s">
        <v>167</v>
      </c>
      <c r="N30"/>
      <c r="O30"/>
      <c r="P30"/>
      <c r="Q30"/>
      <c r="R30"/>
    </row>
    <row r="31" spans="1:23" ht="17.850000000000001" customHeight="1">
      <c r="A31" s="16" t="s">
        <v>168</v>
      </c>
      <c r="B31" s="31"/>
      <c r="C31" s="28" t="str">
        <f t="shared" si="0"/>
        <v/>
      </c>
      <c r="I31" t="s">
        <v>169</v>
      </c>
      <c r="J31" t="s">
        <v>170</v>
      </c>
      <c r="K31" t="s">
        <v>171</v>
      </c>
      <c r="L31" t="s">
        <v>172</v>
      </c>
      <c r="M31" t="s">
        <v>173</v>
      </c>
      <c r="N31"/>
      <c r="O31"/>
      <c r="P31"/>
      <c r="Q31"/>
      <c r="R31"/>
    </row>
    <row r="32" spans="1:23" ht="17.850000000000001" customHeight="1">
      <c r="A32" s="16" t="s">
        <v>174</v>
      </c>
      <c r="B32" s="31"/>
      <c r="C32" s="28" t="str">
        <f t="shared" si="0"/>
        <v/>
      </c>
      <c r="I32" t="s">
        <v>175</v>
      </c>
      <c r="J32" t="s">
        <v>176</v>
      </c>
      <c r="K32" t="s">
        <v>177</v>
      </c>
      <c r="L32" t="s">
        <v>178</v>
      </c>
      <c r="M32" t="s">
        <v>179</v>
      </c>
      <c r="N32"/>
      <c r="O32"/>
      <c r="P32"/>
      <c r="Q32"/>
      <c r="R32"/>
    </row>
    <row r="33" spans="1:23" ht="17.850000000000001" customHeight="1">
      <c r="A33" s="16" t="s">
        <v>180</v>
      </c>
      <c r="B33" s="31"/>
      <c r="C33" s="28" t="str">
        <f t="shared" si="0"/>
        <v/>
      </c>
      <c r="I33" t="s">
        <v>181</v>
      </c>
      <c r="J33" t="s">
        <v>182</v>
      </c>
      <c r="K33" t="s">
        <v>183</v>
      </c>
      <c r="L33" t="s">
        <v>179</v>
      </c>
      <c r="M33"/>
      <c r="N33"/>
      <c r="O33"/>
      <c r="P33"/>
      <c r="Q33"/>
      <c r="R33"/>
    </row>
    <row r="34" spans="1:23" ht="17.850000000000001" customHeight="1">
      <c r="A34" s="17" t="s">
        <v>184</v>
      </c>
      <c r="B34" s="32"/>
      <c r="C34" s="28" t="str">
        <f t="shared" si="0"/>
        <v/>
      </c>
      <c r="I34" t="s">
        <v>185</v>
      </c>
      <c r="J34" t="s">
        <v>186</v>
      </c>
      <c r="K34"/>
      <c r="L34"/>
      <c r="M34"/>
      <c r="N34"/>
      <c r="O34"/>
      <c r="P34"/>
      <c r="Q34"/>
      <c r="R34"/>
    </row>
    <row r="35" spans="1:23" ht="9" customHeight="1">
      <c r="A35" s="2"/>
      <c r="B35" s="237"/>
      <c r="C35" s="21"/>
      <c r="D35" s="21"/>
      <c r="E35" s="21"/>
      <c r="F35" s="21"/>
      <c r="G35" s="21"/>
      <c r="H35" s="21"/>
      <c r="I35" t="s">
        <v>187</v>
      </c>
      <c r="J35" t="s">
        <v>188</v>
      </c>
      <c r="K35" t="s">
        <v>189</v>
      </c>
      <c r="L35" t="s">
        <v>190</v>
      </c>
      <c r="M35" t="s">
        <v>191</v>
      </c>
      <c r="N35" t="s">
        <v>192</v>
      </c>
      <c r="O35"/>
      <c r="P35"/>
      <c r="Q35"/>
      <c r="R35"/>
      <c r="S35" s="21"/>
      <c r="T35" s="21"/>
      <c r="U35" s="21"/>
      <c r="V35" s="21"/>
      <c r="W35" s="21"/>
    </row>
    <row r="36" spans="1:23" ht="17.850000000000001" customHeight="1">
      <c r="A36" s="2" t="s">
        <v>193</v>
      </c>
      <c r="B36" s="237"/>
      <c r="I36" t="s">
        <v>194</v>
      </c>
      <c r="J36" t="s">
        <v>195</v>
      </c>
      <c r="K36" t="s">
        <v>196</v>
      </c>
      <c r="L36" t="s">
        <v>197</v>
      </c>
      <c r="M36" t="s">
        <v>198</v>
      </c>
      <c r="N36"/>
      <c r="O36"/>
      <c r="P36"/>
      <c r="Q36"/>
      <c r="R36"/>
    </row>
    <row r="37" spans="1:23" ht="35.1" customHeight="1">
      <c r="A37" s="19" t="s">
        <v>199</v>
      </c>
      <c r="B37" s="33"/>
      <c r="C37" s="28" t="str">
        <f t="shared" ref="C37:C43" si="1">IF(AND($B$7&lt;&gt;"",B37=""),"←入力してください/Please input.","")</f>
        <v/>
      </c>
      <c r="I37" t="s">
        <v>200</v>
      </c>
      <c r="J37" t="s">
        <v>201</v>
      </c>
      <c r="K37" t="s">
        <v>202</v>
      </c>
      <c r="L37"/>
      <c r="M37"/>
      <c r="N37"/>
      <c r="O37"/>
      <c r="P37"/>
      <c r="Q37"/>
      <c r="R37"/>
    </row>
    <row r="38" spans="1:23" ht="17.850000000000001" customHeight="1">
      <c r="A38" s="18" t="s">
        <v>203</v>
      </c>
      <c r="B38" s="34"/>
      <c r="C38" s="28" t="str">
        <f t="shared" si="1"/>
        <v/>
      </c>
      <c r="I38" t="s">
        <v>204</v>
      </c>
      <c r="J38" t="s">
        <v>205</v>
      </c>
      <c r="K38" t="s">
        <v>206</v>
      </c>
      <c r="L38"/>
      <c r="M38"/>
      <c r="N38"/>
      <c r="O38"/>
      <c r="P38"/>
      <c r="Q38"/>
      <c r="R38"/>
    </row>
    <row r="39" spans="1:23" ht="17.850000000000001" customHeight="1">
      <c r="A39" s="16" t="s">
        <v>162</v>
      </c>
      <c r="B39" s="31"/>
      <c r="C39" s="28" t="str">
        <f t="shared" si="1"/>
        <v/>
      </c>
      <c r="I39" t="s">
        <v>207</v>
      </c>
      <c r="J39" t="s">
        <v>208</v>
      </c>
      <c r="K39" t="s">
        <v>209</v>
      </c>
      <c r="L39" t="s">
        <v>210</v>
      </c>
      <c r="M39" t="s">
        <v>211</v>
      </c>
      <c r="N39" t="s">
        <v>212</v>
      </c>
      <c r="O39" t="s">
        <v>213</v>
      </c>
      <c r="P39"/>
      <c r="Q39"/>
      <c r="R39"/>
    </row>
    <row r="40" spans="1:23" ht="17.850000000000001" customHeight="1">
      <c r="A40" s="16" t="s">
        <v>214</v>
      </c>
      <c r="B40" s="31"/>
      <c r="C40" s="28" t="str">
        <f t="shared" si="1"/>
        <v/>
      </c>
      <c r="I40" t="s">
        <v>215</v>
      </c>
      <c r="J40" t="s">
        <v>216</v>
      </c>
      <c r="K40" t="s">
        <v>217</v>
      </c>
      <c r="L40" t="s">
        <v>218</v>
      </c>
      <c r="M40" t="s">
        <v>219</v>
      </c>
      <c r="N40" t="s">
        <v>220</v>
      </c>
      <c r="O40" t="s">
        <v>221</v>
      </c>
      <c r="P40"/>
      <c r="Q40"/>
      <c r="R40"/>
    </row>
    <row r="41" spans="1:23" ht="17.850000000000001" customHeight="1">
      <c r="A41" s="16" t="s">
        <v>222</v>
      </c>
      <c r="B41" s="31"/>
      <c r="C41" s="28" t="str">
        <f t="shared" si="1"/>
        <v/>
      </c>
      <c r="I41" t="s">
        <v>223</v>
      </c>
      <c r="J41" t="s">
        <v>224</v>
      </c>
      <c r="K41" t="s">
        <v>225</v>
      </c>
      <c r="L41" t="s">
        <v>226</v>
      </c>
      <c r="M41" t="s">
        <v>227</v>
      </c>
      <c r="N41" t="s">
        <v>84</v>
      </c>
      <c r="O41"/>
      <c r="P41"/>
      <c r="Q41"/>
      <c r="R41"/>
    </row>
    <row r="42" spans="1:23" ht="17.850000000000001" customHeight="1">
      <c r="A42" s="16" t="s">
        <v>228</v>
      </c>
      <c r="B42" s="31"/>
      <c r="C42" s="28" t="str">
        <f t="shared" si="1"/>
        <v/>
      </c>
      <c r="I42" t="s">
        <v>229</v>
      </c>
      <c r="J42" t="s">
        <v>230</v>
      </c>
      <c r="K42" t="s">
        <v>231</v>
      </c>
      <c r="L42"/>
      <c r="M42"/>
      <c r="N42"/>
      <c r="O42"/>
      <c r="P42"/>
      <c r="Q42"/>
      <c r="R42"/>
    </row>
    <row r="43" spans="1:23" ht="17.850000000000001" customHeight="1">
      <c r="A43" s="17" t="s">
        <v>184</v>
      </c>
      <c r="B43" s="32"/>
      <c r="C43" s="28" t="str">
        <f t="shared" si="1"/>
        <v/>
      </c>
      <c r="I43" t="s">
        <v>232</v>
      </c>
      <c r="J43" t="s">
        <v>233</v>
      </c>
      <c r="K43" t="s">
        <v>234</v>
      </c>
      <c r="L43" t="s">
        <v>235</v>
      </c>
      <c r="M43"/>
      <c r="N43"/>
      <c r="O43"/>
      <c r="P43"/>
      <c r="Q43"/>
      <c r="R43"/>
    </row>
    <row r="44" spans="1:23" ht="23.25" customHeight="1">
      <c r="A44" s="2"/>
      <c r="B44" s="237"/>
      <c r="C44" s="21"/>
      <c r="D44" s="21"/>
      <c r="E44" s="21"/>
      <c r="F44" s="21"/>
      <c r="G44" s="21"/>
      <c r="H44" s="21"/>
      <c r="I44" t="s">
        <v>236</v>
      </c>
      <c r="J44" t="s">
        <v>237</v>
      </c>
      <c r="K44" t="s">
        <v>238</v>
      </c>
      <c r="L44" t="s">
        <v>239</v>
      </c>
      <c r="M44" t="s">
        <v>240</v>
      </c>
      <c r="N44" t="s">
        <v>241</v>
      </c>
      <c r="O44" t="s">
        <v>242</v>
      </c>
      <c r="P44"/>
      <c r="Q44"/>
      <c r="R44"/>
      <c r="S44" s="21"/>
      <c r="T44" s="21"/>
      <c r="U44" s="21"/>
      <c r="V44" s="21"/>
      <c r="W44" s="21"/>
    </row>
    <row r="45" spans="1:23" ht="17.850000000000001" customHeight="1">
      <c r="A45" s="23" t="s">
        <v>243</v>
      </c>
      <c r="B45" s="238"/>
      <c r="I45" t="s">
        <v>244</v>
      </c>
      <c r="J45" t="s">
        <v>245</v>
      </c>
      <c r="K45" t="s">
        <v>246</v>
      </c>
      <c r="L45" t="s">
        <v>247</v>
      </c>
      <c r="M45" t="s">
        <v>248</v>
      </c>
      <c r="N45"/>
      <c r="O45"/>
      <c r="P45"/>
      <c r="Q45"/>
      <c r="R45"/>
    </row>
    <row r="46" spans="1:23" ht="33.75" customHeight="1">
      <c r="A46" s="188" t="s">
        <v>249</v>
      </c>
      <c r="B46" s="313" t="str">
        <f>IF(COUNTIF(Researcher!$H$6:$H$100,A46)&gt;0,"○","")</f>
        <v/>
      </c>
      <c r="I46" t="s">
        <v>250</v>
      </c>
      <c r="J46" t="s">
        <v>251</v>
      </c>
      <c r="K46" t="s">
        <v>252</v>
      </c>
      <c r="L46" t="s">
        <v>253</v>
      </c>
      <c r="M46" t="s">
        <v>254</v>
      </c>
      <c r="N46" t="s">
        <v>255</v>
      </c>
      <c r="O46"/>
      <c r="P46"/>
      <c r="Q46"/>
      <c r="R46"/>
    </row>
    <row r="47" spans="1:23" ht="38.25" customHeight="1">
      <c r="A47" s="189" t="s">
        <v>256</v>
      </c>
      <c r="B47" s="314" t="str">
        <f>IF(COUNTIF(Researcher!$H$6:$H$100,A47)&gt;0,"○","")</f>
        <v/>
      </c>
      <c r="I47" t="s">
        <v>257</v>
      </c>
      <c r="J47" t="s">
        <v>258</v>
      </c>
      <c r="K47" t="s">
        <v>259</v>
      </c>
      <c r="L47" t="s">
        <v>260</v>
      </c>
      <c r="M47"/>
      <c r="N47"/>
      <c r="O47"/>
      <c r="P47"/>
      <c r="Q47"/>
      <c r="R47"/>
    </row>
    <row r="48" spans="1:23" ht="46.5" customHeight="1">
      <c r="A48" s="189" t="s">
        <v>261</v>
      </c>
      <c r="B48" s="314" t="str">
        <f>IF(COUNTIF(Researcher!$H$6:$H$100,A48)&gt;0,"○","")</f>
        <v/>
      </c>
      <c r="I48" t="s">
        <v>262</v>
      </c>
      <c r="J48" t="s">
        <v>263</v>
      </c>
      <c r="K48" t="s">
        <v>264</v>
      </c>
      <c r="L48"/>
      <c r="M48"/>
      <c r="N48"/>
      <c r="O48"/>
      <c r="P48"/>
      <c r="Q48"/>
      <c r="R48"/>
    </row>
    <row r="49" spans="1:23" ht="51" customHeight="1">
      <c r="A49" s="189" t="s">
        <v>265</v>
      </c>
      <c r="B49" s="314" t="str">
        <f>IF(COUNTIF(Researcher!$H$6:$H$100,A49)&gt;0,"○","")</f>
        <v/>
      </c>
      <c r="I49" t="s">
        <v>266</v>
      </c>
      <c r="J49" t="s">
        <v>267</v>
      </c>
      <c r="K49" t="s">
        <v>268</v>
      </c>
      <c r="L49"/>
      <c r="M49"/>
      <c r="N49"/>
      <c r="O49"/>
      <c r="P49"/>
      <c r="Q49"/>
      <c r="R49"/>
    </row>
    <row r="50" spans="1:23" ht="47.25" customHeight="1">
      <c r="A50" s="189" t="s">
        <v>269</v>
      </c>
      <c r="B50" s="314" t="str">
        <f>IF(COUNTIF(Researcher!$H$6:$H$100,A50)&gt;0,"○","")</f>
        <v/>
      </c>
      <c r="I50" t="s">
        <v>270</v>
      </c>
      <c r="J50" t="s">
        <v>271</v>
      </c>
      <c r="K50" t="s">
        <v>272</v>
      </c>
      <c r="L50" t="s">
        <v>273</v>
      </c>
      <c r="M50" t="s">
        <v>274</v>
      </c>
      <c r="N50" t="s">
        <v>275</v>
      </c>
      <c r="O50"/>
      <c r="P50"/>
      <c r="Q50"/>
      <c r="R50"/>
    </row>
    <row r="51" spans="1:23" ht="49.5" customHeight="1">
      <c r="A51" s="189" t="s">
        <v>276</v>
      </c>
      <c r="B51" s="314" t="str">
        <f>IF(COUNTIF(Researcher!$H$6:$H$100,A51)&gt;0,"○","")</f>
        <v/>
      </c>
      <c r="I51" t="s">
        <v>277</v>
      </c>
      <c r="J51" t="s">
        <v>278</v>
      </c>
      <c r="K51" t="s">
        <v>279</v>
      </c>
      <c r="L51"/>
      <c r="M51"/>
      <c r="N51"/>
      <c r="O51"/>
      <c r="P51"/>
      <c r="Q51"/>
      <c r="R51"/>
    </row>
    <row r="52" spans="1:23" ht="48.75" customHeight="1">
      <c r="A52" s="189" t="s">
        <v>280</v>
      </c>
      <c r="B52" s="314" t="str">
        <f>IF(COUNTIF(Researcher!$H$6:$H$100,A52)&gt;0,"○","")</f>
        <v/>
      </c>
      <c r="I52" t="s">
        <v>281</v>
      </c>
      <c r="J52" t="s">
        <v>282</v>
      </c>
      <c r="K52" t="s">
        <v>283</v>
      </c>
      <c r="L52"/>
      <c r="M52"/>
      <c r="N52"/>
      <c r="O52"/>
      <c r="P52"/>
      <c r="Q52"/>
      <c r="R52"/>
    </row>
    <row r="53" spans="1:23" ht="53.25" customHeight="1" thickBot="1">
      <c r="A53" s="190" t="s">
        <v>284</v>
      </c>
      <c r="B53" s="315" t="str">
        <f>IF(COUNTIF(Researcher!$H$6:$H$100,A53)&gt;0,"○","")</f>
        <v/>
      </c>
      <c r="I53" t="s">
        <v>285</v>
      </c>
      <c r="J53" t="s">
        <v>286</v>
      </c>
      <c r="K53" t="s">
        <v>287</v>
      </c>
      <c r="L53" t="s">
        <v>288</v>
      </c>
      <c r="M53"/>
      <c r="N53"/>
      <c r="O53"/>
      <c r="P53"/>
      <c r="Q53"/>
      <c r="R53"/>
    </row>
    <row r="54" spans="1:23" ht="9" customHeight="1">
      <c r="A54" s="2"/>
      <c r="B54" s="2"/>
      <c r="C54" s="21"/>
      <c r="D54" s="21"/>
      <c r="E54" s="21"/>
      <c r="F54" s="21"/>
      <c r="G54" s="21"/>
      <c r="H54" s="21"/>
      <c r="I54" t="s">
        <v>289</v>
      </c>
      <c r="J54" t="s">
        <v>290</v>
      </c>
      <c r="K54" t="s">
        <v>291</v>
      </c>
      <c r="L54" t="s">
        <v>292</v>
      </c>
      <c r="M54"/>
      <c r="N54"/>
      <c r="O54"/>
      <c r="P54"/>
      <c r="Q54"/>
      <c r="R54"/>
      <c r="S54" s="21"/>
      <c r="T54" s="21"/>
      <c r="U54" s="21"/>
      <c r="V54" s="21"/>
      <c r="W54" s="21"/>
    </row>
    <row r="55" spans="1:23" ht="15" customHeight="1">
      <c r="A55" s="23" t="s">
        <v>293</v>
      </c>
      <c r="B55" s="2"/>
      <c r="C55" s="21"/>
      <c r="D55" s="21"/>
      <c r="E55" s="21"/>
      <c r="F55" s="21"/>
      <c r="G55" s="21"/>
      <c r="H55" s="21"/>
      <c r="I55" t="s">
        <v>294</v>
      </c>
      <c r="J55" t="s">
        <v>295</v>
      </c>
      <c r="K55" t="s">
        <v>296</v>
      </c>
      <c r="L55"/>
      <c r="M55"/>
      <c r="N55"/>
      <c r="O55"/>
      <c r="P55"/>
      <c r="Q55"/>
      <c r="R55"/>
    </row>
    <row r="56" spans="1:23" ht="44.25" customHeight="1" thickBot="1">
      <c r="A56" s="355" t="s">
        <v>297</v>
      </c>
      <c r="B56" s="23"/>
      <c r="C56" s="192" t="s">
        <v>298</v>
      </c>
      <c r="E56" s="43" t="s">
        <v>44</v>
      </c>
      <c r="I56" t="s">
        <v>299</v>
      </c>
      <c r="J56" t="s">
        <v>300</v>
      </c>
      <c r="K56" t="s">
        <v>301</v>
      </c>
      <c r="L56" t="s">
        <v>302</v>
      </c>
      <c r="M56"/>
      <c r="N56"/>
      <c r="O56"/>
      <c r="P56"/>
      <c r="Q56"/>
      <c r="R56"/>
    </row>
    <row r="57" spans="1:23" ht="45" customHeight="1" thickBot="1">
      <c r="A57" s="316" t="s">
        <v>303</v>
      </c>
      <c r="B57" s="317">
        <f ca="1">SUM(B58:B66)</f>
        <v>0</v>
      </c>
      <c r="C57" s="191" t="str">
        <f ca="1">IF(B57&gt;E57,"全拠点負担金総計の上限値 "&amp;TEXT($E$57,"#,###")&amp;" 円を超えています / Excessing maximum total Cost ","")</f>
        <v/>
      </c>
      <c r="D57" s="28"/>
      <c r="E57" s="163">
        <v>3600000</v>
      </c>
      <c r="F57" s="39" t="s">
        <v>304</v>
      </c>
      <c r="I57" t="s">
        <v>305</v>
      </c>
      <c r="J57" t="s">
        <v>306</v>
      </c>
      <c r="K57" t="s">
        <v>307</v>
      </c>
      <c r="L57" t="s">
        <v>308</v>
      </c>
      <c r="M57" t="s">
        <v>309</v>
      </c>
      <c r="N57" t="s">
        <v>310</v>
      </c>
      <c r="O57" t="s">
        <v>311</v>
      </c>
      <c r="P57"/>
      <c r="Q57"/>
      <c r="R57"/>
    </row>
    <row r="58" spans="1:23" ht="33">
      <c r="A58" s="188" t="s">
        <v>312</v>
      </c>
      <c r="B58" s="318">
        <f ca="1">INDIRECT("Hokkaido!$B$8")</f>
        <v>0</v>
      </c>
      <c r="C58" s="191" t="str" cm="1">
        <f t="array" aca="1" ref="C58" ca="1">IF(LEN(INDIRECT("Hokkaido!$C$9"))&gt;0,"Hokkaidoシートで資源超過などが発生しています / Problems are present in Hokkaido sheet","")</f>
        <v/>
      </c>
      <c r="D58" s="28"/>
      <c r="I58" t="s">
        <v>313</v>
      </c>
      <c r="J58" t="s">
        <v>314</v>
      </c>
      <c r="K58" t="s">
        <v>315</v>
      </c>
      <c r="L58" t="s">
        <v>316</v>
      </c>
      <c r="M58" t="s">
        <v>317</v>
      </c>
      <c r="N58" t="s">
        <v>318</v>
      </c>
      <c r="O58" t="s">
        <v>319</v>
      </c>
      <c r="P58" t="s">
        <v>320</v>
      </c>
      <c r="Q58"/>
      <c r="R58"/>
    </row>
    <row r="59" spans="1:23" ht="33">
      <c r="A59" s="189" t="s">
        <v>321</v>
      </c>
      <c r="B59" s="319" cm="1">
        <f t="array" aca="1" ref="B59" ca="1">INDIRECT("Tohoku!$B$8")</f>
        <v>0</v>
      </c>
      <c r="C59" s="191" t="str" cm="1">
        <f t="array" aca="1" ref="C59" ca="1">IF(LEN(INDIRECT("Tohoku!$C$9"))&gt;0,"Tohokuシートで資源超過などが発生しています / Problems are present in Tohoku sheet","")</f>
        <v/>
      </c>
      <c r="D59" s="28"/>
      <c r="I59" t="s">
        <v>322</v>
      </c>
      <c r="J59" t="s">
        <v>323</v>
      </c>
      <c r="K59" t="s">
        <v>324</v>
      </c>
      <c r="L59" t="s">
        <v>325</v>
      </c>
      <c r="M59" t="s">
        <v>326</v>
      </c>
      <c r="N59"/>
      <c r="O59"/>
      <c r="P59"/>
      <c r="Q59"/>
      <c r="R59"/>
    </row>
    <row r="60" spans="1:23" ht="33">
      <c r="A60" s="189" t="s">
        <v>327</v>
      </c>
      <c r="B60" s="319" cm="1">
        <f t="array" aca="1" ref="B60" ca="1">INDIRECT("Tokyo!$B$8")</f>
        <v>0</v>
      </c>
      <c r="C60" s="191" t="str" cm="1">
        <f t="array" aca="1" ref="C60" ca="1">IF(LEN(INDIRECT("Tokyo!$C$9"))&gt;0,"Tokyoシートで資源超過などが発生しています / Problems are present in Tokyo sheet","")</f>
        <v/>
      </c>
      <c r="D60" s="28"/>
      <c r="I60" t="s">
        <v>328</v>
      </c>
      <c r="J60" t="s">
        <v>329</v>
      </c>
      <c r="K60" t="s">
        <v>330</v>
      </c>
      <c r="L60" t="s">
        <v>331</v>
      </c>
      <c r="M60" t="s">
        <v>332</v>
      </c>
      <c r="N60" t="s">
        <v>333</v>
      </c>
      <c r="O60"/>
      <c r="P60"/>
      <c r="Q60"/>
      <c r="R60"/>
    </row>
    <row r="61" spans="1:23" ht="49.5">
      <c r="A61" s="189" t="s">
        <v>265</v>
      </c>
      <c r="B61" s="319" cm="1">
        <f t="array" aca="1" ref="B61" ca="1">INDIRECT("Science_Tokyo!$B$8")</f>
        <v>0</v>
      </c>
      <c r="C61" s="191" t="str" cm="1">
        <f t="array" aca="1" ref="C61" ca="1">IF(LEN(INDIRECT("Science_Tokyo!$C$9"))&gt;0,"Science_Tokyoシートで資源超過などが発生しています / Problems are present in Science_Tokyo sheet","")</f>
        <v/>
      </c>
      <c r="D61" s="28"/>
      <c r="I61" t="s">
        <v>334</v>
      </c>
      <c r="J61" t="s">
        <v>335</v>
      </c>
      <c r="K61" t="s">
        <v>336</v>
      </c>
      <c r="L61" t="s">
        <v>337</v>
      </c>
      <c r="M61" t="s">
        <v>338</v>
      </c>
      <c r="N61"/>
      <c r="O61"/>
      <c r="P61"/>
      <c r="Q61"/>
      <c r="R61"/>
    </row>
    <row r="62" spans="1:23" ht="33">
      <c r="A62" s="189" t="s">
        <v>339</v>
      </c>
      <c r="B62" s="319" cm="1">
        <f t="array" aca="1" ref="B62" ca="1">INDIRECT("Nagoya!$B$8")</f>
        <v>0</v>
      </c>
      <c r="C62" s="191" t="str" cm="1">
        <f t="array" aca="1" ref="C62" ca="1">IF(LEN(INDIRECT("Nagoya!$C$9"))&gt;0,"Nagoyaシートで資源超過などが発生しています / Problems are present in Nagoya sheet","")</f>
        <v/>
      </c>
      <c r="D62" s="28"/>
      <c r="I62" t="s">
        <v>340</v>
      </c>
      <c r="J62" t="s">
        <v>341</v>
      </c>
      <c r="K62" t="s">
        <v>342</v>
      </c>
      <c r="L62" t="s">
        <v>343</v>
      </c>
      <c r="M62" t="s">
        <v>344</v>
      </c>
      <c r="N62" t="s">
        <v>345</v>
      </c>
      <c r="O62" t="s">
        <v>346</v>
      </c>
      <c r="P62"/>
      <c r="Q62"/>
      <c r="R62"/>
    </row>
    <row r="63" spans="1:23" ht="49.5">
      <c r="A63" s="189" t="s">
        <v>347</v>
      </c>
      <c r="B63" s="319" cm="1">
        <f t="array" aca="1" ref="B63" ca="1">INDIRECT("Kyoto!$B$8")</f>
        <v>0</v>
      </c>
      <c r="C63" s="191" t="str" cm="1">
        <f t="array" aca="1" ref="C63" ca="1">IF(LEN(INDIRECT("Kyoto!$C$9"))&gt;0,"Kyotoシートで資源超過などが発生しています / Problems are present in Kyoto sheet","")</f>
        <v/>
      </c>
      <c r="D63" s="28"/>
      <c r="I63" t="s">
        <v>348</v>
      </c>
      <c r="J63" t="s">
        <v>349</v>
      </c>
      <c r="K63" t="s">
        <v>350</v>
      </c>
      <c r="L63" t="s">
        <v>351</v>
      </c>
      <c r="M63" t="s">
        <v>352</v>
      </c>
      <c r="N63" t="s">
        <v>353</v>
      </c>
      <c r="O63"/>
      <c r="P63"/>
      <c r="Q63"/>
      <c r="R63"/>
    </row>
    <row r="64" spans="1:23" ht="33">
      <c r="A64" s="189" t="s">
        <v>280</v>
      </c>
      <c r="B64" s="319" cm="1">
        <f t="array" aca="1" ref="B64" ca="1">INDIRECT("Osaka!$B$8")</f>
        <v>0</v>
      </c>
      <c r="C64" s="191" t="str" cm="1">
        <f t="array" aca="1" ref="C64" ca="1">IF(LEN(INDIRECT("Osaka!$C$9"))&gt;0,"Osakaシートで資源超過などが発生しています / Problems are present in Osaka sheet","")</f>
        <v/>
      </c>
      <c r="D64" s="28"/>
      <c r="I64" t="s">
        <v>354</v>
      </c>
      <c r="J64" t="s">
        <v>355</v>
      </c>
      <c r="K64" t="s">
        <v>356</v>
      </c>
      <c r="L64" t="s">
        <v>357</v>
      </c>
      <c r="M64" t="s">
        <v>358</v>
      </c>
      <c r="N64" t="s">
        <v>359</v>
      </c>
      <c r="O64" t="s">
        <v>360</v>
      </c>
      <c r="P64"/>
      <c r="Q64"/>
      <c r="R64"/>
    </row>
    <row r="65" spans="1:18" ht="49.5">
      <c r="A65" s="189" t="s">
        <v>361</v>
      </c>
      <c r="B65" s="319" cm="1">
        <f t="array" aca="1" ref="B65" ca="1">INDIRECT("Kyushu!$B$8")</f>
        <v>0</v>
      </c>
      <c r="C65" s="191" t="str" cm="1">
        <f t="array" aca="1" ref="C65" ca="1">IF(LEN(INDIRECT("Kyushu!$C$9"))&gt;0,"Kyushuシートで資源超過などが発生しています / Problems are present in Kyushu sheet","")</f>
        <v/>
      </c>
      <c r="I65" t="s">
        <v>362</v>
      </c>
      <c r="J65" t="s">
        <v>363</v>
      </c>
      <c r="K65" t="s">
        <v>364</v>
      </c>
      <c r="L65" t="s">
        <v>365</v>
      </c>
      <c r="M65"/>
      <c r="N65"/>
      <c r="O65"/>
      <c r="P65"/>
      <c r="Q65"/>
      <c r="R65"/>
    </row>
    <row r="66" spans="1:18" ht="18" thickBot="1">
      <c r="A66" s="320" t="s">
        <v>366</v>
      </c>
      <c r="B66" s="500">
        <f ca="1">IF(INDIRECT("mdx!$B$7")&gt;0,MIN(MAX(3600000-SUM(B58:B65),1),INDIRECT("mdx!$B$7")),0)</f>
        <v>0</v>
      </c>
      <c r="C66" s="306"/>
      <c r="I66" t="s">
        <v>367</v>
      </c>
      <c r="J66" t="s">
        <v>368</v>
      </c>
      <c r="K66" t="s">
        <v>369</v>
      </c>
      <c r="L66" t="s">
        <v>370</v>
      </c>
      <c r="M66" t="s">
        <v>371</v>
      </c>
      <c r="N66" t="s">
        <v>372</v>
      </c>
      <c r="O66" t="s">
        <v>373</v>
      </c>
      <c r="P66"/>
      <c r="Q66"/>
      <c r="R66"/>
    </row>
    <row r="67" spans="1:18" ht="18" thickBot="1">
      <c r="A67" s="321"/>
      <c r="B67" s="322"/>
      <c r="C67" s="306"/>
      <c r="I67" t="s">
        <v>374</v>
      </c>
      <c r="J67" t="s">
        <v>375</v>
      </c>
      <c r="K67" t="s">
        <v>376</v>
      </c>
      <c r="L67" t="s">
        <v>377</v>
      </c>
      <c r="M67" t="s">
        <v>378</v>
      </c>
      <c r="N67"/>
      <c r="O67"/>
      <c r="P67"/>
      <c r="Q67"/>
      <c r="R67"/>
    </row>
    <row r="68" spans="1:18" ht="49.5" customHeight="1" thickBot="1">
      <c r="A68" s="323" t="s">
        <v>379</v>
      </c>
      <c r="B68" s="324">
        <f ca="1">IFERROR((INDIRECT("Hokkaido!$B$6")+INDIRECT("Tohoku!$B$6")+INDIRECT("Tokyo!$B$6")+INDIRECT("Science_Tokyo!$B$6")+INDIRECT("Nagoya!$B$6")+INDIRECT("Kyoto!$B$6")+INDIRECT("Osaka!$B$6")+INDIRECT("Kyushu!$B$6"))/(INDIRECT("Hokkaido!$B$5")+INDIRECT("Tohoku!$B$5")+INDIRECT("Tokyo!$B$5")+INDIRECT("Science_Tokyo!$B$5")+INDIRECT("Nagoya!$B$5")+INDIRECT("Kyoto!$B$5")+INDIRECT("Osaka!$B$5")+INDIRECT("Kyushu!$B$5")),0)</f>
        <v>0</v>
      </c>
      <c r="C68" s="302" t="str">
        <f ca="1">IF(B68&gt;E68,"(Warning) 優先確保資源利用料の合計が "&amp;TEXT($E$68,"0%")&amp;" を超えています(Noteを参照ください） / Total cost of high priority resource is excessing "&amp;TEXT($E$68,"0%")&amp;" (See Note)","")</f>
        <v/>
      </c>
      <c r="E68" s="300">
        <v>0.5</v>
      </c>
      <c r="F68" s="301" t="s">
        <v>380</v>
      </c>
      <c r="I68" t="s">
        <v>381</v>
      </c>
      <c r="J68" t="s">
        <v>382</v>
      </c>
      <c r="K68" t="s">
        <v>383</v>
      </c>
      <c r="L68" t="s">
        <v>384</v>
      </c>
      <c r="M68" t="s">
        <v>385</v>
      </c>
      <c r="N68" t="s">
        <v>386</v>
      </c>
      <c r="O68" t="s">
        <v>387</v>
      </c>
      <c r="P68" t="s">
        <v>388</v>
      </c>
      <c r="Q68"/>
      <c r="R68"/>
    </row>
    <row r="69" spans="1:18">
      <c r="I69" t="s">
        <v>389</v>
      </c>
      <c r="J69" t="s">
        <v>390</v>
      </c>
      <c r="K69" t="s">
        <v>391</v>
      </c>
      <c r="L69"/>
      <c r="M69"/>
      <c r="N69"/>
      <c r="O69"/>
      <c r="P69"/>
      <c r="Q69"/>
      <c r="R69"/>
    </row>
    <row r="70" spans="1:18">
      <c r="I70" t="s">
        <v>392</v>
      </c>
      <c r="J70" t="s">
        <v>393</v>
      </c>
      <c r="K70" t="s">
        <v>394</v>
      </c>
      <c r="L70" t="s">
        <v>395</v>
      </c>
      <c r="M70"/>
      <c r="N70"/>
      <c r="O70"/>
      <c r="P70"/>
      <c r="Q70"/>
      <c r="R70"/>
    </row>
    <row r="71" spans="1:18">
      <c r="I71" t="s">
        <v>396</v>
      </c>
      <c r="J71" t="s">
        <v>397</v>
      </c>
      <c r="K71" t="s">
        <v>398</v>
      </c>
      <c r="L71" t="s">
        <v>399</v>
      </c>
      <c r="M71" t="s">
        <v>400</v>
      </c>
      <c r="N71" t="s">
        <v>401</v>
      </c>
      <c r="O71"/>
      <c r="P71"/>
      <c r="Q71"/>
      <c r="R71"/>
    </row>
    <row r="72" spans="1:18">
      <c r="I72" t="s">
        <v>402</v>
      </c>
      <c r="J72" t="s">
        <v>403</v>
      </c>
      <c r="K72" t="s">
        <v>404</v>
      </c>
      <c r="L72" t="s">
        <v>405</v>
      </c>
      <c r="M72" t="s">
        <v>406</v>
      </c>
      <c r="N72" t="s">
        <v>407</v>
      </c>
      <c r="O72"/>
      <c r="P72"/>
      <c r="Q72"/>
      <c r="R72"/>
    </row>
    <row r="73" spans="1:18">
      <c r="I73" t="s">
        <v>408</v>
      </c>
      <c r="J73" t="s">
        <v>409</v>
      </c>
      <c r="K73" t="s">
        <v>410</v>
      </c>
      <c r="L73" t="s">
        <v>411</v>
      </c>
      <c r="M73" t="s">
        <v>412</v>
      </c>
      <c r="N73"/>
      <c r="O73"/>
      <c r="P73"/>
      <c r="Q73"/>
      <c r="R73"/>
    </row>
    <row r="74" spans="1:18">
      <c r="I74" t="s">
        <v>413</v>
      </c>
      <c r="J74" t="s">
        <v>414</v>
      </c>
      <c r="K74" t="s">
        <v>415</v>
      </c>
      <c r="L74" t="s">
        <v>416</v>
      </c>
      <c r="M74" t="s">
        <v>417</v>
      </c>
      <c r="N74" t="s">
        <v>418</v>
      </c>
      <c r="O74" t="s">
        <v>419</v>
      </c>
      <c r="P74"/>
      <c r="Q74"/>
      <c r="R74"/>
    </row>
    <row r="75" spans="1:18">
      <c r="I75" t="s">
        <v>420</v>
      </c>
      <c r="J75" t="s">
        <v>421</v>
      </c>
      <c r="K75" t="s">
        <v>422</v>
      </c>
      <c r="L75" t="s">
        <v>423</v>
      </c>
      <c r="M75" t="s">
        <v>424</v>
      </c>
      <c r="N75" t="s">
        <v>425</v>
      </c>
      <c r="O75" t="s">
        <v>426</v>
      </c>
      <c r="P75" t="s">
        <v>427</v>
      </c>
      <c r="Q75"/>
      <c r="R75"/>
    </row>
    <row r="76" spans="1:18">
      <c r="I76" t="s">
        <v>428</v>
      </c>
      <c r="J76" t="s">
        <v>429</v>
      </c>
      <c r="K76" t="s">
        <v>430</v>
      </c>
      <c r="L76" t="s">
        <v>431</v>
      </c>
      <c r="M76" t="s">
        <v>432</v>
      </c>
      <c r="N76" t="s">
        <v>433</v>
      </c>
      <c r="O76" t="s">
        <v>434</v>
      </c>
      <c r="P76" t="s">
        <v>435</v>
      </c>
      <c r="Q76" t="s">
        <v>436</v>
      </c>
      <c r="R76"/>
    </row>
    <row r="77" spans="1:18">
      <c r="I77" t="s">
        <v>437</v>
      </c>
      <c r="J77" t="s">
        <v>438</v>
      </c>
      <c r="K77" t="s">
        <v>439</v>
      </c>
      <c r="L77" t="s">
        <v>440</v>
      </c>
      <c r="M77" t="s">
        <v>441</v>
      </c>
      <c r="N77" t="s">
        <v>442</v>
      </c>
      <c r="O77" t="s">
        <v>443</v>
      </c>
      <c r="P77" t="s">
        <v>444</v>
      </c>
      <c r="Q77" t="s">
        <v>445</v>
      </c>
      <c r="R77"/>
    </row>
    <row r="78" spans="1:18">
      <c r="I78" t="s">
        <v>446</v>
      </c>
      <c r="J78" t="s">
        <v>447</v>
      </c>
      <c r="K78" t="s">
        <v>448</v>
      </c>
      <c r="L78" t="s">
        <v>449</v>
      </c>
      <c r="M78" t="s">
        <v>450</v>
      </c>
      <c r="N78"/>
      <c r="O78"/>
      <c r="P78"/>
      <c r="Q78"/>
      <c r="R78"/>
    </row>
    <row r="79" spans="1:18">
      <c r="I79" t="s">
        <v>270</v>
      </c>
      <c r="J79" t="s">
        <v>271</v>
      </c>
      <c r="K79" t="s">
        <v>272</v>
      </c>
      <c r="L79" t="s">
        <v>273</v>
      </c>
      <c r="M79" t="s">
        <v>274</v>
      </c>
      <c r="N79" t="s">
        <v>275</v>
      </c>
      <c r="O79"/>
      <c r="P79"/>
      <c r="Q79"/>
      <c r="R79"/>
    </row>
    <row r="80" spans="1:18">
      <c r="I80" t="s">
        <v>451</v>
      </c>
      <c r="J80" t="s">
        <v>452</v>
      </c>
      <c r="K80" t="s">
        <v>453</v>
      </c>
      <c r="L80" t="s">
        <v>454</v>
      </c>
      <c r="M80" t="s">
        <v>455</v>
      </c>
      <c r="N80" t="s">
        <v>456</v>
      </c>
      <c r="O80"/>
      <c r="P80"/>
      <c r="Q80"/>
      <c r="R80"/>
    </row>
    <row r="81" spans="9:19">
      <c r="I81" t="s">
        <v>457</v>
      </c>
      <c r="J81" t="s">
        <v>458</v>
      </c>
      <c r="K81" t="s">
        <v>459</v>
      </c>
      <c r="L81" t="s">
        <v>460</v>
      </c>
      <c r="M81" t="s">
        <v>461</v>
      </c>
      <c r="N81"/>
      <c r="O81"/>
      <c r="P81"/>
      <c r="Q81"/>
      <c r="R81"/>
    </row>
    <row r="82" spans="9:19">
      <c r="I82" s="310" t="s">
        <v>462</v>
      </c>
      <c r="J82" s="1" t="s">
        <v>463</v>
      </c>
      <c r="K82" s="310" t="s">
        <v>464</v>
      </c>
    </row>
    <row r="83" spans="9:19">
      <c r="I83" s="25" t="s">
        <v>465</v>
      </c>
      <c r="J83" s="25" t="s">
        <v>466</v>
      </c>
      <c r="K83" s="25" t="s">
        <v>467</v>
      </c>
      <c r="L83" s="25" t="s">
        <v>468</v>
      </c>
      <c r="M83" s="25" t="s">
        <v>469</v>
      </c>
      <c r="N83" s="25" t="s">
        <v>470</v>
      </c>
      <c r="O83" s="25" t="s">
        <v>471</v>
      </c>
      <c r="P83" s="25" t="s">
        <v>472</v>
      </c>
      <c r="Q83" s="25" t="s">
        <v>473</v>
      </c>
      <c r="R83" s="25" t="s">
        <v>474</v>
      </c>
      <c r="S83" s="25" t="s">
        <v>475</v>
      </c>
    </row>
    <row r="84" spans="9:19">
      <c r="I84" s="25" t="s">
        <v>476</v>
      </c>
      <c r="J84" s="25" t="s">
        <v>477</v>
      </c>
      <c r="K84" s="25" t="s">
        <v>478</v>
      </c>
      <c r="L84" s="25" t="s">
        <v>479</v>
      </c>
      <c r="M84" s="25" t="s">
        <v>480</v>
      </c>
      <c r="N84" s="25" t="s">
        <v>481</v>
      </c>
      <c r="O84" s="25" t="s">
        <v>482</v>
      </c>
      <c r="P84" s="25" t="s">
        <v>483</v>
      </c>
      <c r="Q84" s="25" t="s">
        <v>484</v>
      </c>
      <c r="R84" s="25" t="s">
        <v>485</v>
      </c>
      <c r="S84" s="25" t="s">
        <v>486</v>
      </c>
    </row>
    <row r="85" spans="9:19">
      <c r="I85" s="25" t="s">
        <v>487</v>
      </c>
      <c r="J85" s="25" t="s">
        <v>488</v>
      </c>
      <c r="K85" s="25" t="s">
        <v>489</v>
      </c>
      <c r="L85" s="25" t="s">
        <v>490</v>
      </c>
      <c r="M85" s="25" t="s">
        <v>491</v>
      </c>
      <c r="N85" s="25" t="s">
        <v>492</v>
      </c>
      <c r="O85" s="25" t="s">
        <v>493</v>
      </c>
      <c r="P85" s="25" t="s">
        <v>494</v>
      </c>
      <c r="Q85" s="25" t="s">
        <v>495</v>
      </c>
      <c r="R85" s="25"/>
      <c r="S85" s="25"/>
    </row>
    <row r="86" spans="9:19">
      <c r="I86" s="25" t="s">
        <v>496</v>
      </c>
      <c r="J86" s="25" t="s">
        <v>497</v>
      </c>
      <c r="K86" s="25" t="s">
        <v>498</v>
      </c>
      <c r="L86" s="25" t="s">
        <v>499</v>
      </c>
      <c r="M86" s="25" t="s">
        <v>500</v>
      </c>
      <c r="N86" s="25" t="s">
        <v>501</v>
      </c>
      <c r="O86" s="25" t="s">
        <v>502</v>
      </c>
      <c r="P86" s="25" t="s">
        <v>503</v>
      </c>
      <c r="Q86" s="25" t="s">
        <v>504</v>
      </c>
      <c r="R86" s="25" t="s">
        <v>505</v>
      </c>
      <c r="S86" s="25"/>
    </row>
    <row r="87" spans="9:19">
      <c r="I87" s="25" t="s">
        <v>506</v>
      </c>
      <c r="J87" s="25" t="s">
        <v>507</v>
      </c>
      <c r="K87" s="25" t="s">
        <v>508</v>
      </c>
      <c r="L87" s="25" t="s">
        <v>509</v>
      </c>
      <c r="M87" s="25" t="s">
        <v>510</v>
      </c>
      <c r="N87" s="25" t="s">
        <v>511</v>
      </c>
      <c r="O87" s="25" t="s">
        <v>512</v>
      </c>
      <c r="P87" s="25" t="s">
        <v>513</v>
      </c>
      <c r="Q87" s="25" t="s">
        <v>514</v>
      </c>
      <c r="R87" s="25" t="s">
        <v>515</v>
      </c>
      <c r="S87" s="25"/>
    </row>
    <row r="88" spans="9:19">
      <c r="I88" s="25" t="s">
        <v>516</v>
      </c>
      <c r="J88" s="25" t="s">
        <v>517</v>
      </c>
      <c r="K88" s="25" t="s">
        <v>518</v>
      </c>
      <c r="L88" s="25" t="s">
        <v>519</v>
      </c>
      <c r="M88" s="25" t="s">
        <v>520</v>
      </c>
      <c r="N88" s="25" t="s">
        <v>521</v>
      </c>
      <c r="O88" s="25" t="s">
        <v>522</v>
      </c>
      <c r="P88" s="25" t="s">
        <v>523</v>
      </c>
      <c r="Q88" s="25" t="s">
        <v>524</v>
      </c>
      <c r="R88" s="25" t="s">
        <v>525</v>
      </c>
      <c r="S88" s="25" t="s">
        <v>526</v>
      </c>
    </row>
    <row r="89" spans="9:19">
      <c r="I89" s="25" t="s">
        <v>527</v>
      </c>
      <c r="J89" s="25" t="s">
        <v>528</v>
      </c>
      <c r="K89" s="25" t="s">
        <v>529</v>
      </c>
      <c r="L89" s="25" t="s">
        <v>530</v>
      </c>
      <c r="M89" s="25" t="s">
        <v>531</v>
      </c>
      <c r="N89" s="25" t="s">
        <v>532</v>
      </c>
      <c r="O89" s="25" t="s">
        <v>533</v>
      </c>
      <c r="P89" s="25" t="s">
        <v>534</v>
      </c>
      <c r="Q89" s="25" t="s">
        <v>535</v>
      </c>
      <c r="R89" s="25" t="s">
        <v>536</v>
      </c>
      <c r="S89" s="25" t="s">
        <v>537</v>
      </c>
    </row>
    <row r="90" spans="9:19">
      <c r="I90" s="25" t="s">
        <v>538</v>
      </c>
      <c r="J90" s="25" t="s">
        <v>539</v>
      </c>
      <c r="K90" s="25" t="s">
        <v>540</v>
      </c>
      <c r="L90" s="25" t="s">
        <v>541</v>
      </c>
      <c r="M90" s="25" t="s">
        <v>542</v>
      </c>
      <c r="N90" s="25" t="s">
        <v>543</v>
      </c>
      <c r="O90" s="25" t="s">
        <v>544</v>
      </c>
      <c r="P90" s="25" t="s">
        <v>545</v>
      </c>
      <c r="Q90" s="25" t="s">
        <v>546</v>
      </c>
      <c r="R90" s="25"/>
      <c r="S90" s="25"/>
    </row>
    <row r="91" spans="9:19">
      <c r="I91" s="25" t="s">
        <v>547</v>
      </c>
      <c r="J91" s="25" t="s">
        <v>548</v>
      </c>
      <c r="K91" s="25" t="s">
        <v>549</v>
      </c>
      <c r="L91" s="25" t="s">
        <v>513</v>
      </c>
      <c r="M91" s="25" t="s">
        <v>550</v>
      </c>
      <c r="N91" s="25" t="s">
        <v>551</v>
      </c>
      <c r="O91" s="25" t="s">
        <v>552</v>
      </c>
      <c r="P91" s="25" t="s">
        <v>553</v>
      </c>
      <c r="Q91" s="25"/>
      <c r="R91" s="25"/>
      <c r="S91" s="25"/>
    </row>
    <row r="92" spans="9:19">
      <c r="I92" s="25" t="s">
        <v>554</v>
      </c>
      <c r="J92" s="25" t="s">
        <v>555</v>
      </c>
      <c r="K92" s="25" t="s">
        <v>556</v>
      </c>
      <c r="L92" s="25" t="s">
        <v>557</v>
      </c>
      <c r="M92" s="25" t="s">
        <v>558</v>
      </c>
      <c r="N92" s="25" t="s">
        <v>559</v>
      </c>
      <c r="O92" s="25" t="s">
        <v>560</v>
      </c>
      <c r="P92" s="25" t="s">
        <v>561</v>
      </c>
      <c r="Q92" s="25" t="s">
        <v>562</v>
      </c>
      <c r="R92" s="25"/>
      <c r="S92" s="25"/>
    </row>
    <row r="93" spans="9:19">
      <c r="I93" s="25" t="s">
        <v>563</v>
      </c>
      <c r="J93" s="25" t="s">
        <v>564</v>
      </c>
      <c r="K93" s="25" t="s">
        <v>565</v>
      </c>
      <c r="L93" s="25" t="s">
        <v>566</v>
      </c>
      <c r="M93" s="25" t="s">
        <v>567</v>
      </c>
      <c r="N93" s="25" t="s">
        <v>568</v>
      </c>
      <c r="O93" s="25" t="s">
        <v>569</v>
      </c>
      <c r="P93" s="25" t="s">
        <v>570</v>
      </c>
      <c r="Q93" s="25" t="s">
        <v>571</v>
      </c>
      <c r="R93" s="25" t="s">
        <v>572</v>
      </c>
      <c r="S93" s="25"/>
    </row>
    <row r="94" spans="9:19">
      <c r="I94" s="25" t="s">
        <v>573</v>
      </c>
      <c r="J94" s="25" t="s">
        <v>574</v>
      </c>
      <c r="K94" s="25" t="s">
        <v>575</v>
      </c>
      <c r="L94" s="25" t="s">
        <v>576</v>
      </c>
      <c r="M94" s="25" t="s">
        <v>577</v>
      </c>
      <c r="N94" s="25" t="s">
        <v>578</v>
      </c>
      <c r="O94" s="25" t="s">
        <v>579</v>
      </c>
      <c r="P94" s="25" t="s">
        <v>580</v>
      </c>
      <c r="Q94" s="25" t="s">
        <v>581</v>
      </c>
      <c r="R94" s="25" t="s">
        <v>582</v>
      </c>
      <c r="S94" s="25" t="s">
        <v>583</v>
      </c>
    </row>
    <row r="95" spans="9:19">
      <c r="I95" s="25" t="s">
        <v>584</v>
      </c>
      <c r="J95" s="25" t="s">
        <v>585</v>
      </c>
      <c r="K95" s="25" t="s">
        <v>586</v>
      </c>
      <c r="L95" s="25" t="s">
        <v>587</v>
      </c>
      <c r="M95" s="25" t="s">
        <v>588</v>
      </c>
      <c r="N95" s="25" t="s">
        <v>589</v>
      </c>
      <c r="O95" s="25" t="s">
        <v>590</v>
      </c>
      <c r="P95" s="25" t="s">
        <v>591</v>
      </c>
      <c r="Q95" s="25" t="s">
        <v>592</v>
      </c>
      <c r="R95" s="25" t="s">
        <v>593</v>
      </c>
      <c r="S95" s="25" t="s">
        <v>594</v>
      </c>
    </row>
    <row r="96" spans="9:19">
      <c r="I96" s="25" t="s">
        <v>595</v>
      </c>
      <c r="J96" s="25" t="s">
        <v>596</v>
      </c>
      <c r="K96" s="25" t="s">
        <v>597</v>
      </c>
      <c r="L96" s="25" t="s">
        <v>598</v>
      </c>
      <c r="M96" s="25" t="s">
        <v>599</v>
      </c>
      <c r="N96" s="25" t="s">
        <v>600</v>
      </c>
      <c r="O96" s="25" t="s">
        <v>601</v>
      </c>
      <c r="P96" s="25"/>
      <c r="Q96" s="25"/>
      <c r="R96" s="25"/>
      <c r="S96" s="25"/>
    </row>
    <row r="97" spans="9:19">
      <c r="I97" s="25" t="s">
        <v>602</v>
      </c>
      <c r="J97" s="25" t="s">
        <v>603</v>
      </c>
      <c r="K97" s="25" t="s">
        <v>604</v>
      </c>
      <c r="L97" s="25" t="s">
        <v>605</v>
      </c>
      <c r="M97" s="25" t="s">
        <v>606</v>
      </c>
      <c r="N97" s="25" t="s">
        <v>607</v>
      </c>
      <c r="O97" s="25" t="s">
        <v>608</v>
      </c>
      <c r="P97" s="25" t="s">
        <v>609</v>
      </c>
      <c r="Q97" s="25" t="s">
        <v>610</v>
      </c>
      <c r="R97" s="25" t="s">
        <v>611</v>
      </c>
      <c r="S97" s="25"/>
    </row>
    <row r="98" spans="9:19">
      <c r="I98" s="25" t="s">
        <v>612</v>
      </c>
      <c r="J98" s="25" t="s">
        <v>613</v>
      </c>
      <c r="K98" s="25" t="s">
        <v>614</v>
      </c>
      <c r="L98" s="25" t="s">
        <v>615</v>
      </c>
      <c r="M98" s="25" t="s">
        <v>616</v>
      </c>
      <c r="N98" s="25" t="s">
        <v>617</v>
      </c>
      <c r="O98" s="25" t="s">
        <v>618</v>
      </c>
      <c r="P98" s="25" t="s">
        <v>619</v>
      </c>
      <c r="Q98" s="25" t="s">
        <v>620</v>
      </c>
      <c r="R98" s="25" t="s">
        <v>621</v>
      </c>
      <c r="S98" s="25" t="s">
        <v>622</v>
      </c>
    </row>
    <row r="99" spans="9:19">
      <c r="I99" s="25" t="s">
        <v>623</v>
      </c>
      <c r="J99" s="25" t="s">
        <v>624</v>
      </c>
      <c r="K99" s="25" t="s">
        <v>625</v>
      </c>
      <c r="L99" s="25" t="s">
        <v>626</v>
      </c>
      <c r="M99" s="25" t="s">
        <v>627</v>
      </c>
      <c r="N99" s="25" t="s">
        <v>628</v>
      </c>
      <c r="O99" s="25" t="s">
        <v>629</v>
      </c>
      <c r="P99" s="25" t="s">
        <v>630</v>
      </c>
      <c r="Q99" s="25" t="s">
        <v>631</v>
      </c>
      <c r="R99" s="25" t="s">
        <v>632</v>
      </c>
      <c r="S99" s="25" t="s">
        <v>633</v>
      </c>
    </row>
    <row r="100" spans="9:19">
      <c r="I100" s="25" t="s">
        <v>634</v>
      </c>
      <c r="J100" s="25" t="s">
        <v>635</v>
      </c>
      <c r="K100" s="25" t="s">
        <v>636</v>
      </c>
      <c r="L100" s="25" t="s">
        <v>637</v>
      </c>
      <c r="M100" s="25" t="s">
        <v>638</v>
      </c>
      <c r="N100" s="25" t="s">
        <v>639</v>
      </c>
      <c r="O100" s="25" t="s">
        <v>640</v>
      </c>
      <c r="P100" s="25" t="s">
        <v>641</v>
      </c>
      <c r="Q100" s="25" t="s">
        <v>642</v>
      </c>
      <c r="R100" s="25"/>
      <c r="S100" s="25"/>
    </row>
    <row r="101" spans="9:19">
      <c r="I101" s="25"/>
      <c r="J101" s="25"/>
      <c r="K101" s="25"/>
      <c r="L101" s="25"/>
      <c r="M101" s="25"/>
      <c r="N101" s="25"/>
      <c r="O101" s="25"/>
      <c r="P101" s="25"/>
      <c r="Q101" s="25"/>
      <c r="R101" s="25"/>
      <c r="S101" s="25"/>
    </row>
    <row r="102" spans="9:19">
      <c r="I102" s="25" t="s">
        <v>643</v>
      </c>
      <c r="J102" s="25" t="s">
        <v>644</v>
      </c>
      <c r="K102" s="25" t="s">
        <v>645</v>
      </c>
      <c r="L102" s="25" t="s">
        <v>646</v>
      </c>
      <c r="M102" s="25" t="s">
        <v>647</v>
      </c>
      <c r="N102" s="25" t="s">
        <v>648</v>
      </c>
      <c r="O102" s="25" t="s">
        <v>649</v>
      </c>
      <c r="P102" s="25" t="s">
        <v>650</v>
      </c>
      <c r="Q102" s="25" t="s">
        <v>651</v>
      </c>
      <c r="R102" s="25" t="s">
        <v>652</v>
      </c>
      <c r="S102" s="25" t="s">
        <v>653</v>
      </c>
    </row>
    <row r="103" spans="9:19">
      <c r="I103" s="25" t="s">
        <v>654</v>
      </c>
      <c r="J103" s="25" t="s">
        <v>655</v>
      </c>
      <c r="K103" s="25" t="s">
        <v>656</v>
      </c>
      <c r="L103" s="25" t="s">
        <v>657</v>
      </c>
      <c r="M103" s="25" t="s">
        <v>658</v>
      </c>
      <c r="N103" s="25" t="s">
        <v>659</v>
      </c>
      <c r="O103" s="25" t="s">
        <v>660</v>
      </c>
      <c r="P103" s="25" t="s">
        <v>661</v>
      </c>
      <c r="Q103" s="25" t="s">
        <v>662</v>
      </c>
      <c r="R103" s="25" t="s">
        <v>663</v>
      </c>
      <c r="S103" s="25" t="s">
        <v>664</v>
      </c>
    </row>
    <row r="104" spans="9:19">
      <c r="I104" s="25" t="s">
        <v>665</v>
      </c>
      <c r="J104" s="25" t="s">
        <v>666</v>
      </c>
      <c r="K104" s="25" t="s">
        <v>667</v>
      </c>
      <c r="L104" s="25" t="s">
        <v>668</v>
      </c>
      <c r="M104" s="25" t="s">
        <v>669</v>
      </c>
      <c r="N104" s="25" t="s">
        <v>670</v>
      </c>
      <c r="O104" s="25" t="s">
        <v>671</v>
      </c>
      <c r="P104" s="25" t="s">
        <v>672</v>
      </c>
      <c r="Q104" s="25" t="s">
        <v>673</v>
      </c>
      <c r="R104" s="25"/>
      <c r="S104" s="25"/>
    </row>
    <row r="105" spans="9:19">
      <c r="I105" s="25" t="s">
        <v>674</v>
      </c>
      <c r="J105" s="25" t="s">
        <v>675</v>
      </c>
      <c r="K105" s="25" t="s">
        <v>676</v>
      </c>
      <c r="L105" s="25" t="s">
        <v>677</v>
      </c>
      <c r="M105" s="25" t="s">
        <v>678</v>
      </c>
      <c r="N105" s="25" t="s">
        <v>679</v>
      </c>
      <c r="O105" s="25" t="s">
        <v>680</v>
      </c>
      <c r="P105" s="25" t="s">
        <v>681</v>
      </c>
      <c r="Q105" s="25" t="s">
        <v>682</v>
      </c>
      <c r="R105" s="25" t="s">
        <v>683</v>
      </c>
      <c r="S105" s="25"/>
    </row>
    <row r="106" spans="9:19">
      <c r="I106" s="310" t="s">
        <v>684</v>
      </c>
      <c r="J106" s="1" t="s">
        <v>685</v>
      </c>
      <c r="K106" s="310" t="s">
        <v>686</v>
      </c>
      <c r="L106" s="1" t="s">
        <v>687</v>
      </c>
      <c r="M106" s="1" t="s">
        <v>688</v>
      </c>
      <c r="N106" s="1" t="s">
        <v>689</v>
      </c>
      <c r="O106" s="1" t="s">
        <v>690</v>
      </c>
      <c r="P106" s="1" t="s">
        <v>691</v>
      </c>
      <c r="Q106" s="1" t="s">
        <v>692</v>
      </c>
      <c r="R106" s="1" t="s">
        <v>693</v>
      </c>
      <c r="S106" s="25"/>
    </row>
    <row r="107" spans="9:19">
      <c r="I107" s="310" t="s">
        <v>694</v>
      </c>
      <c r="J107" s="1" t="s">
        <v>695</v>
      </c>
      <c r="K107" s="310" t="s">
        <v>696</v>
      </c>
      <c r="L107" s="1" t="s">
        <v>697</v>
      </c>
      <c r="M107" s="1" t="s">
        <v>698</v>
      </c>
      <c r="N107" s="1" t="s">
        <v>699</v>
      </c>
      <c r="O107" s="1" t="s">
        <v>700</v>
      </c>
      <c r="P107" s="1" t="s">
        <v>701</v>
      </c>
      <c r="Q107" s="1" t="s">
        <v>702</v>
      </c>
      <c r="R107" s="1" t="s">
        <v>703</v>
      </c>
      <c r="S107" s="25" t="s">
        <v>704</v>
      </c>
    </row>
    <row r="108" spans="9:19">
      <c r="I108" s="310" t="s">
        <v>705</v>
      </c>
      <c r="J108" s="1" t="s">
        <v>706</v>
      </c>
      <c r="K108" s="310" t="s">
        <v>707</v>
      </c>
      <c r="L108" s="1" t="s">
        <v>708</v>
      </c>
      <c r="M108" s="1" t="s">
        <v>709</v>
      </c>
      <c r="N108" s="1" t="s">
        <v>710</v>
      </c>
      <c r="O108" s="1" t="s">
        <v>711</v>
      </c>
      <c r="P108" s="1" t="s">
        <v>712</v>
      </c>
      <c r="Q108" s="1" t="s">
        <v>713</v>
      </c>
      <c r="R108" s="1" t="s">
        <v>714</v>
      </c>
      <c r="S108" s="25" t="s">
        <v>715</v>
      </c>
    </row>
    <row r="109" spans="9:19">
      <c r="I109" s="310" t="s">
        <v>716</v>
      </c>
      <c r="J109" s="1" t="s">
        <v>717</v>
      </c>
      <c r="K109" s="310" t="s">
        <v>718</v>
      </c>
      <c r="L109" s="1" t="s">
        <v>719</v>
      </c>
      <c r="M109" s="1" t="s">
        <v>720</v>
      </c>
      <c r="N109" s="1" t="s">
        <v>721</v>
      </c>
      <c r="O109" s="1" t="s">
        <v>722</v>
      </c>
      <c r="P109" s="1" t="s">
        <v>723</v>
      </c>
      <c r="Q109" s="1" t="s">
        <v>724</v>
      </c>
      <c r="S109" s="25"/>
    </row>
    <row r="110" spans="9:19">
      <c r="I110" s="310" t="s">
        <v>725</v>
      </c>
      <c r="J110" s="1" t="s">
        <v>726</v>
      </c>
      <c r="K110" s="310" t="s">
        <v>727</v>
      </c>
      <c r="L110" s="1" t="s">
        <v>728</v>
      </c>
      <c r="M110" s="1" t="s">
        <v>729</v>
      </c>
      <c r="N110" s="1" t="s">
        <v>730</v>
      </c>
      <c r="O110" s="1" t="s">
        <v>731</v>
      </c>
      <c r="P110" s="1" t="s">
        <v>732</v>
      </c>
      <c r="S110" s="25"/>
    </row>
    <row r="111" spans="9:19">
      <c r="I111" s="310" t="s">
        <v>733</v>
      </c>
      <c r="J111" s="1" t="s">
        <v>734</v>
      </c>
      <c r="K111" s="310" t="s">
        <v>735</v>
      </c>
      <c r="L111" s="1" t="s">
        <v>736</v>
      </c>
      <c r="M111" s="1" t="s">
        <v>737</v>
      </c>
      <c r="N111" s="1" t="s">
        <v>738</v>
      </c>
      <c r="O111" s="1" t="s">
        <v>739</v>
      </c>
      <c r="P111" s="1" t="s">
        <v>740</v>
      </c>
      <c r="Q111" s="1" t="s">
        <v>741</v>
      </c>
      <c r="S111" s="25"/>
    </row>
    <row r="112" spans="9:19">
      <c r="I112" s="310" t="s">
        <v>742</v>
      </c>
      <c r="J112" s="1" t="s">
        <v>743</v>
      </c>
      <c r="K112" s="310" t="s">
        <v>744</v>
      </c>
      <c r="L112" s="1" t="s">
        <v>745</v>
      </c>
      <c r="M112" s="1" t="s">
        <v>746</v>
      </c>
      <c r="N112" s="1" t="s">
        <v>747</v>
      </c>
      <c r="O112" s="1" t="s">
        <v>748</v>
      </c>
      <c r="P112" s="1" t="s">
        <v>749</v>
      </c>
      <c r="Q112" s="1" t="s">
        <v>750</v>
      </c>
      <c r="R112" s="1" t="s">
        <v>751</v>
      </c>
      <c r="S112" s="25"/>
    </row>
    <row r="113" spans="9:19">
      <c r="I113" s="310" t="s">
        <v>752</v>
      </c>
      <c r="J113" s="1" t="s">
        <v>753</v>
      </c>
      <c r="K113" s="310" t="s">
        <v>754</v>
      </c>
      <c r="L113" s="1" t="s">
        <v>755</v>
      </c>
      <c r="M113" s="1" t="s">
        <v>756</v>
      </c>
      <c r="N113" s="1" t="s">
        <v>757</v>
      </c>
      <c r="O113" s="1" t="s">
        <v>758</v>
      </c>
      <c r="P113" s="1" t="s">
        <v>759</v>
      </c>
      <c r="Q113" s="1" t="s">
        <v>760</v>
      </c>
      <c r="R113" s="1" t="s">
        <v>761</v>
      </c>
      <c r="S113" s="25" t="s">
        <v>762</v>
      </c>
    </row>
    <row r="114" spans="9:19">
      <c r="I114" s="310" t="s">
        <v>763</v>
      </c>
      <c r="J114" s="1" t="s">
        <v>764</v>
      </c>
      <c r="K114" s="310" t="s">
        <v>765</v>
      </c>
      <c r="L114" s="1" t="s">
        <v>766</v>
      </c>
      <c r="M114" s="1" t="s">
        <v>767</v>
      </c>
      <c r="N114" s="1" t="s">
        <v>768</v>
      </c>
      <c r="O114" s="1" t="s">
        <v>769</v>
      </c>
      <c r="P114" s="1" t="s">
        <v>770</v>
      </c>
      <c r="Q114" s="1" t="s">
        <v>771</v>
      </c>
      <c r="R114" s="1" t="s">
        <v>772</v>
      </c>
      <c r="S114" s="25" t="s">
        <v>773</v>
      </c>
    </row>
    <row r="115" spans="9:19">
      <c r="I115" s="310" t="s">
        <v>774</v>
      </c>
      <c r="J115" s="1" t="s">
        <v>775</v>
      </c>
      <c r="K115" s="310" t="s">
        <v>776</v>
      </c>
      <c r="L115" s="1" t="s">
        <v>777</v>
      </c>
      <c r="M115" s="1" t="s">
        <v>778</v>
      </c>
      <c r="N115" s="1" t="s">
        <v>779</v>
      </c>
      <c r="O115" s="1" t="s">
        <v>780</v>
      </c>
      <c r="S115" s="25"/>
    </row>
    <row r="116" spans="9:19">
      <c r="I116" s="310" t="s">
        <v>781</v>
      </c>
      <c r="J116" s="1" t="s">
        <v>782</v>
      </c>
      <c r="K116" s="310" t="s">
        <v>783</v>
      </c>
      <c r="L116" s="1" t="s">
        <v>784</v>
      </c>
      <c r="M116" s="1" t="s">
        <v>785</v>
      </c>
      <c r="N116" s="1" t="s">
        <v>786</v>
      </c>
      <c r="O116" s="1" t="s">
        <v>787</v>
      </c>
      <c r="P116" s="1" t="s">
        <v>788</v>
      </c>
      <c r="Q116" s="1" t="s">
        <v>789</v>
      </c>
      <c r="R116" s="1" t="s">
        <v>790</v>
      </c>
      <c r="S116" s="25"/>
    </row>
    <row r="117" spans="9:19">
      <c r="I117" s="310" t="s">
        <v>791</v>
      </c>
      <c r="J117" s="1" t="s">
        <v>792</v>
      </c>
      <c r="K117" s="310" t="s">
        <v>793</v>
      </c>
      <c r="L117" s="1" t="s">
        <v>794</v>
      </c>
      <c r="M117" s="1" t="s">
        <v>795</v>
      </c>
      <c r="N117" s="1" t="s">
        <v>796</v>
      </c>
      <c r="O117" s="1" t="s">
        <v>797</v>
      </c>
      <c r="P117" s="1" t="s">
        <v>798</v>
      </c>
      <c r="Q117" s="1" t="s">
        <v>799</v>
      </c>
      <c r="R117" s="1" t="s">
        <v>800</v>
      </c>
      <c r="S117" s="25" t="s">
        <v>801</v>
      </c>
    </row>
    <row r="118" spans="9:19">
      <c r="I118" s="310" t="s">
        <v>802</v>
      </c>
      <c r="J118" s="1" t="s">
        <v>803</v>
      </c>
      <c r="K118" s="310" t="s">
        <v>804</v>
      </c>
      <c r="L118" s="1" t="s">
        <v>805</v>
      </c>
      <c r="M118" s="1" t="s">
        <v>806</v>
      </c>
      <c r="N118" s="1" t="s">
        <v>807</v>
      </c>
      <c r="O118" s="1" t="s">
        <v>808</v>
      </c>
      <c r="P118" s="1" t="s">
        <v>809</v>
      </c>
      <c r="Q118" s="1" t="s">
        <v>810</v>
      </c>
      <c r="R118" s="1" t="s">
        <v>811</v>
      </c>
      <c r="S118" s="25" t="s">
        <v>812</v>
      </c>
    </row>
    <row r="119" spans="9:19">
      <c r="I119" s="310" t="s">
        <v>813</v>
      </c>
      <c r="J119" s="1" t="s">
        <v>814</v>
      </c>
      <c r="K119" s="310" t="s">
        <v>815</v>
      </c>
      <c r="L119" s="1" t="s">
        <v>816</v>
      </c>
      <c r="M119" s="1" t="s">
        <v>817</v>
      </c>
      <c r="N119" s="1" t="s">
        <v>818</v>
      </c>
      <c r="O119" s="1" t="s">
        <v>819</v>
      </c>
      <c r="P119" s="1" t="s">
        <v>820</v>
      </c>
      <c r="Q119" s="1" t="s">
        <v>821</v>
      </c>
    </row>
    <row r="120" spans="9:19">
      <c r="I120" s="310"/>
      <c r="K120" s="310"/>
    </row>
    <row r="121" spans="9:19">
      <c r="I121" s="310" t="str">
        <f>_xlfn.CONCAT(I83,$J$82,I102)</f>
        <v>小区分60010_情報学基礎論関連_Fundamentals_of_Informatics</v>
      </c>
      <c r="J121" s="310" t="str">
        <f t="shared" ref="J121:S121" si="2">_xlfn.CONCAT(J83,$I$82,J102)</f>
        <v>離散構造/Discrete Structure</v>
      </c>
      <c r="K121" s="310" t="str">
        <f t="shared" si="2"/>
        <v>数理論理学/Mathematical Logic</v>
      </c>
      <c r="L121" s="310" t="str">
        <f t="shared" si="2"/>
        <v>計算理論/Computational Theory</v>
      </c>
      <c r="M121" s="310" t="str">
        <f t="shared" si="2"/>
        <v>プログラム理論/Program Theory</v>
      </c>
      <c r="N121" s="310" t="str">
        <f t="shared" si="2"/>
        <v>計算量理論/Computation quantity Theory</v>
      </c>
      <c r="O121" s="310" t="str">
        <f t="shared" si="2"/>
        <v>アルゴリズム理論/Algorithm Theory</v>
      </c>
      <c r="P121" s="310" t="str">
        <f t="shared" si="2"/>
        <v>情報理論/Information Theory</v>
      </c>
      <c r="Q121" s="310" t="str">
        <f t="shared" si="2"/>
        <v>符号理論/Sign Theory</v>
      </c>
      <c r="R121" s="310" t="str">
        <f t="shared" si="2"/>
        <v>暗号理論/Cryptology</v>
      </c>
      <c r="S121" s="310" t="str">
        <f t="shared" si="2"/>
        <v>学習理論/Learning Theory</v>
      </c>
    </row>
    <row r="122" spans="9:19">
      <c r="I122" s="310" t="str">
        <f t="shared" ref="I122:I138" si="3">_xlfn.CONCAT(I84,$J$82,I103)</f>
        <v>小区分60020_数理情報学関連_Mathematical_Informatics</v>
      </c>
      <c r="J122" s="310" t="str">
        <f t="shared" ref="J122:S138" si="4">_xlfn.CONCAT(J84,$I$82,J103)</f>
        <v>最適化理論/Optimization Theory</v>
      </c>
      <c r="K122" s="310" t="str">
        <f t="shared" si="4"/>
        <v>数理システム理論/Mathematical Systems Theory</v>
      </c>
      <c r="L122" s="310" t="str">
        <f t="shared" si="4"/>
        <v>システム制御理論/System Control Theory</v>
      </c>
      <c r="M122" s="310" t="str">
        <f t="shared" si="4"/>
        <v>システム分析/Systems Analysis</v>
      </c>
      <c r="N122" s="310" t="str">
        <f t="shared" si="4"/>
        <v>システム方法論/Systems Methodology</v>
      </c>
      <c r="O122" s="310" t="str">
        <f t="shared" si="4"/>
        <v>システムモデリング/Systems Modeling</v>
      </c>
      <c r="P122" s="310" t="str">
        <f t="shared" si="4"/>
        <v>システムシミュレーション/System Simulation</v>
      </c>
      <c r="Q122" s="310" t="str">
        <f t="shared" si="4"/>
        <v>組合せ最適化/Combinatorial Optimization</v>
      </c>
      <c r="R122" s="310" t="str">
        <f t="shared" si="4"/>
        <v>待ち行列論/Queueing Theory</v>
      </c>
      <c r="S122" s="310" t="str">
        <f t="shared" si="4"/>
        <v>数理ファイナンス/Mathematical Finance</v>
      </c>
    </row>
    <row r="123" spans="9:19">
      <c r="I123" s="310" t="str">
        <f t="shared" si="3"/>
        <v>小区分60030_統計科学関連_Statistical_Science</v>
      </c>
      <c r="J123" s="310" t="str">
        <f t="shared" si="4"/>
        <v>統計学/Statistics</v>
      </c>
      <c r="K123" s="310" t="str">
        <f t="shared" si="4"/>
        <v>データサイエンス/Data Science</v>
      </c>
      <c r="L123" s="310" t="str">
        <f t="shared" si="4"/>
        <v>モデル化/Modeling</v>
      </c>
      <c r="M123" s="310" t="str">
        <f t="shared" si="4"/>
        <v>統計的推測/Statistical Inference</v>
      </c>
      <c r="N123" s="310" t="str">
        <f t="shared" si="4"/>
        <v>多変量解析/Multivariate Analysis</v>
      </c>
      <c r="O123" s="310" t="str">
        <f t="shared" si="4"/>
        <v>時系列解析/Time Series Analysis</v>
      </c>
      <c r="P123" s="310" t="str">
        <f t="shared" si="4"/>
        <v>統計的品質管理/Statistical Quality Control</v>
      </c>
      <c r="Q123" s="310" t="str">
        <f t="shared" si="4"/>
        <v>応用統計学/Applied Statistics</v>
      </c>
      <c r="R123" s="310"/>
      <c r="S123" s="310"/>
    </row>
    <row r="124" spans="9:19">
      <c r="I124" s="310" t="str">
        <f t="shared" si="3"/>
        <v>小区分60040_計算機システム関連_Computer_Systems</v>
      </c>
      <c r="J124" s="310" t="str">
        <f t="shared" si="4"/>
        <v>計算機アーキテクチャ/Computer Architecture</v>
      </c>
      <c r="K124" s="310" t="str">
        <f t="shared" si="4"/>
        <v>回路とシステム/Circuits and Systems</v>
      </c>
      <c r="L124" s="310" t="str">
        <f t="shared" si="4"/>
        <v>ＬＳＩ設計/LSI Design</v>
      </c>
      <c r="M124" s="310" t="str">
        <f t="shared" si="4"/>
        <v>ＬＳＩテスト/LSI Testing</v>
      </c>
      <c r="N124" s="310" t="str">
        <f t="shared" si="4"/>
        <v>リコンフィギャラブルシステム/Reconfigurable Systems</v>
      </c>
      <c r="O124" s="310" t="str">
        <f t="shared" si="4"/>
        <v>ディペンダブルアーキテクチャ/Dependable Architecture</v>
      </c>
      <c r="P124" s="310" t="str">
        <f t="shared" si="4"/>
        <v>低消費電力技術/Low Power Technology</v>
      </c>
      <c r="Q124" s="310" t="str">
        <f t="shared" si="4"/>
        <v>ハードウェア・ソフトウェア協調設計/Hardware/Software Co-Design</v>
      </c>
      <c r="R124" s="310" t="str">
        <f t="shared" si="4"/>
        <v>組込みシステム/Embedded Systems</v>
      </c>
      <c r="S124" s="310"/>
    </row>
    <row r="125" spans="9:19">
      <c r="I125" s="310" t="str">
        <f t="shared" si="3"/>
        <v>小区分60050_ソフトウェア関連_Software</v>
      </c>
      <c r="J125" s="310" t="str">
        <f t="shared" si="4"/>
        <v>プログラミング言語/Programming Languages</v>
      </c>
      <c r="K125" s="310" t="str">
        <f t="shared" si="4"/>
        <v>プログラミング方法論/Programming Methodology</v>
      </c>
      <c r="L125" s="310" t="str">
        <f t="shared" si="4"/>
        <v>オペレーティングシステム/Operating Systems</v>
      </c>
      <c r="M125" s="310" t="str">
        <f t="shared" si="4"/>
        <v>並列分散処理/Parallel and Distributed Processing</v>
      </c>
      <c r="N125" s="310" t="str">
        <f t="shared" si="4"/>
        <v>ソフトウェア工学/Software Engineering</v>
      </c>
      <c r="O125" s="310" t="str">
        <f t="shared" si="4"/>
        <v>仮想化技術/Virtualization technology</v>
      </c>
      <c r="P125" s="310" t="str">
        <f t="shared" si="4"/>
        <v>クラウドコンピューティング/Cloud Computing</v>
      </c>
      <c r="Q125" s="310" t="str">
        <f t="shared" si="4"/>
        <v>ソフトウェアディペンダビリティ/Software Dependability</v>
      </c>
      <c r="R125" s="310" t="str">
        <f t="shared" si="4"/>
        <v>ソフトウェアセキュリティ/Software Security</v>
      </c>
      <c r="S125" s="310"/>
    </row>
    <row r="126" spans="9:19">
      <c r="I126" s="310" t="str">
        <f t="shared" si="3"/>
        <v>小区分60060_情報ネットワーク関連_Information_Networking</v>
      </c>
      <c r="J126" s="310" t="str">
        <f t="shared" si="4"/>
        <v>ネットワークアーキテクチャ/Network Architecture</v>
      </c>
      <c r="K126" s="310" t="str">
        <f t="shared" si="4"/>
        <v>ネットワークプロトコル/Network Protocols</v>
      </c>
      <c r="L126" s="310" t="str">
        <f t="shared" si="4"/>
        <v>インターネット/Internet</v>
      </c>
      <c r="M126" s="310" t="str">
        <f t="shared" si="4"/>
        <v>モバイルネットワーク/Mobile Networking</v>
      </c>
      <c r="N126" s="310" t="str">
        <f t="shared" si="4"/>
        <v>パーベイシブコンピューティング/Pervasive Computing</v>
      </c>
      <c r="O126" s="310" t="str">
        <f t="shared" si="4"/>
        <v>センサーネットワーク/Sensor Networks</v>
      </c>
      <c r="P126" s="310" t="str">
        <f t="shared" si="4"/>
        <v>ＩｏＴ/IoT</v>
      </c>
      <c r="Q126" s="310" t="str">
        <f t="shared" si="4"/>
        <v>トラフィックエンジニアリング/Traffic Engineering</v>
      </c>
      <c r="R126" s="310" t="str">
        <f t="shared" si="4"/>
        <v>ネットワーク管理/Network Management</v>
      </c>
      <c r="S126" s="310" t="str">
        <f t="shared" si="4"/>
        <v>サービス構築基盤技術/Service Construction Infrastructure Technology</v>
      </c>
    </row>
    <row r="127" spans="9:19">
      <c r="I127" s="310" t="str">
        <f t="shared" si="3"/>
        <v>小区分60070_情報セキュリティ関連_Information_Security</v>
      </c>
      <c r="J127" s="310" t="str">
        <f t="shared" si="4"/>
        <v>暗号/Cryptography</v>
      </c>
      <c r="K127" s="310" t="str">
        <f t="shared" si="4"/>
        <v>耐タンパー技術/Tamper-resistant technology</v>
      </c>
      <c r="L127" s="310" t="str">
        <f t="shared" si="4"/>
        <v>認証/Authentication</v>
      </c>
      <c r="M127" s="310" t="str">
        <f t="shared" si="4"/>
        <v>バイオメトリクス/Biometrics</v>
      </c>
      <c r="N127" s="310" t="str">
        <f t="shared" si="4"/>
        <v>アクセス制御/Access Control</v>
      </c>
      <c r="O127" s="310" t="str">
        <f t="shared" si="4"/>
        <v>マルウェア対策/Anti-malware</v>
      </c>
      <c r="P127" s="310" t="str">
        <f t="shared" si="4"/>
        <v>サイバー攻撃対策/Cyber Attack Prevention</v>
      </c>
      <c r="Q127" s="310" t="str">
        <f t="shared" si="4"/>
        <v>プライバシー保護/Privacy Protection</v>
      </c>
      <c r="R127" s="310" t="str">
        <f t="shared" si="4"/>
        <v>ディジタルフォレンジクス/Digital forensics</v>
      </c>
      <c r="S127" s="310" t="str">
        <f t="shared" si="4"/>
        <v>セキュリティ評価認証/Security Evaluation and Certification</v>
      </c>
    </row>
    <row r="128" spans="9:19">
      <c r="I128" s="310" t="str">
        <f t="shared" si="3"/>
        <v>小区分60080_データベース関連_Database</v>
      </c>
      <c r="J128" s="310" t="str">
        <f t="shared" si="4"/>
        <v>データモデル/Data Models</v>
      </c>
      <c r="K128" s="310" t="str">
        <f t="shared" si="4"/>
        <v>データベースシステム/Database Systems</v>
      </c>
      <c r="L128" s="310" t="str">
        <f t="shared" si="4"/>
        <v>マルチメディアデータベース/Multimedia Database</v>
      </c>
      <c r="M128" s="310" t="str">
        <f t="shared" si="4"/>
        <v>情報検索/Information Retrieval</v>
      </c>
      <c r="N128" s="310" t="str">
        <f t="shared" si="4"/>
        <v>コンテンツ管理/Content Management</v>
      </c>
      <c r="O128" s="310" t="str">
        <f t="shared" si="4"/>
        <v>メタデータ/Metadata</v>
      </c>
      <c r="P128" s="310" t="str">
        <f t="shared" si="4"/>
        <v>ビッグデータ/Big Data</v>
      </c>
      <c r="Q128" s="310" t="str">
        <f t="shared" si="4"/>
        <v>地理情報システム/Geographic Information Systems</v>
      </c>
      <c r="R128" s="310"/>
      <c r="S128" s="310"/>
    </row>
    <row r="129" spans="9:19">
      <c r="I129" s="310" t="str">
        <f t="shared" si="3"/>
        <v>小区分60090_高性能計算関連_High_Performance_Computing</v>
      </c>
      <c r="J129" s="310" t="str">
        <f t="shared" si="4"/>
        <v>並列処理/Parallel Processing</v>
      </c>
      <c r="K129" s="310" t="str">
        <f t="shared" si="4"/>
        <v>分散処理/Distributed Processing</v>
      </c>
      <c r="L129" s="310" t="str">
        <f t="shared" si="4"/>
        <v>クラウドコンピューティング/Cloud computing</v>
      </c>
      <c r="M129" s="310" t="str">
        <f t="shared" si="4"/>
        <v>数値解析/Numerical Analysis</v>
      </c>
      <c r="N129" s="310" t="str">
        <f t="shared" si="4"/>
        <v>可視化/Visualization</v>
      </c>
      <c r="O129" s="310" t="str">
        <f t="shared" si="4"/>
        <v>コンピュータグラフィクス/Computer Graphics</v>
      </c>
      <c r="P129" s="310" t="str">
        <f t="shared" si="4"/>
        <v>高性能計算アプリケーション/High-performance computing applications</v>
      </c>
      <c r="Q129" s="310"/>
      <c r="R129" s="310"/>
      <c r="S129" s="310"/>
    </row>
    <row r="130" spans="9:19">
      <c r="I130" s="310" t="str">
        <f t="shared" si="3"/>
        <v>小区分60100_計算科学関連_Computational_Science</v>
      </c>
      <c r="J130" s="310" t="str">
        <f t="shared" si="4"/>
        <v>数理工学/Mathematical Engineering</v>
      </c>
      <c r="K130" s="310" t="str">
        <f t="shared" si="4"/>
        <v>計算力学/Computational Mechanics</v>
      </c>
      <c r="L130" s="310" t="str">
        <f t="shared" si="4"/>
        <v>数値シミュレーション/Numerical simulation</v>
      </c>
      <c r="M130" s="310" t="str">
        <f t="shared" si="4"/>
        <v>マルチスケール/Multiscale</v>
      </c>
      <c r="N130" s="310" t="str">
        <f t="shared" si="4"/>
        <v>大規模計算/Large-Scale Computing</v>
      </c>
      <c r="O130" s="310" t="str">
        <f t="shared" si="4"/>
        <v>超並列計算/Massively Parallel Computing</v>
      </c>
      <c r="P130" s="310" t="str">
        <f t="shared" si="4"/>
        <v>数値計算手法/Numerical Methods</v>
      </c>
      <c r="Q130" s="310" t="str">
        <f t="shared" si="4"/>
        <v>先進アルゴリズム/Advanced Algorithms</v>
      </c>
      <c r="R130" s="310"/>
      <c r="S130" s="310"/>
    </row>
    <row r="131" spans="9:19">
      <c r="I131" s="310" t="str">
        <f t="shared" si="3"/>
        <v>小区分61010_知覚情報処理関連_Perceptual_Information_Processing</v>
      </c>
      <c r="J131" s="310" t="str">
        <f t="shared" si="4"/>
        <v>パターン認識/Pattern Recognition</v>
      </c>
      <c r="K131" s="310" t="str">
        <f t="shared" si="4"/>
        <v>画像処理/Image Processing</v>
      </c>
      <c r="L131" s="310" t="str">
        <f t="shared" si="4"/>
        <v>コンピュータビジョン/Computer Vision</v>
      </c>
      <c r="M131" s="310" t="str">
        <f t="shared" si="4"/>
        <v>視覚メディア処理/Visual Media Processing</v>
      </c>
      <c r="N131" s="310" t="str">
        <f t="shared" si="4"/>
        <v>音メディア処理/Acoustic Media Processing</v>
      </c>
      <c r="O131" s="310" t="str">
        <f t="shared" si="4"/>
        <v>メディア編集/Media Editing</v>
      </c>
      <c r="P131" s="310" t="str">
        <f t="shared" si="4"/>
        <v>メディアデータベース/Media Databases</v>
      </c>
      <c r="Q131" s="310" t="str">
        <f t="shared" si="4"/>
        <v>センシング/Sensing</v>
      </c>
      <c r="R131" s="310" t="str">
        <f t="shared" si="4"/>
        <v>センサ融合/Sensor Fusion</v>
      </c>
      <c r="S131" s="310"/>
    </row>
    <row r="132" spans="9:19">
      <c r="I132" s="310" t="str">
        <f t="shared" si="3"/>
        <v>小区分61020_ヒューマンインタフェースおよびインタラクション関連_Human_Interface_and_Interaction</v>
      </c>
      <c r="J132" s="310" t="str">
        <f t="shared" si="4"/>
        <v>ヒューマンインタフェース/Human Interface</v>
      </c>
      <c r="K132" s="310" t="str">
        <f t="shared" si="4"/>
        <v>マルチモーダルインタフェース/Multimodal Interfaces</v>
      </c>
      <c r="L132" s="310" t="str">
        <f t="shared" si="4"/>
        <v>ヒューマンコンピュータインタラクション/Human-computer interaction</v>
      </c>
      <c r="M132" s="310" t="str">
        <f t="shared" si="4"/>
        <v>協同作業環境/Collaborative Environments</v>
      </c>
      <c r="N132" s="310" t="str">
        <f t="shared" si="4"/>
        <v>バーチャルリアリティ/Virtual Reality</v>
      </c>
      <c r="O132" s="310" t="str">
        <f t="shared" si="4"/>
        <v>拡張現実/Augmented Reality</v>
      </c>
      <c r="P132" s="310" t="str">
        <f t="shared" si="4"/>
        <v>臨場感コミュニケーション/Realistic Communication</v>
      </c>
      <c r="Q132" s="310" t="str">
        <f t="shared" si="4"/>
        <v>ウェアラブル機器/Wearable Devices</v>
      </c>
      <c r="R132" s="310" t="str">
        <f t="shared" si="4"/>
        <v>ユーザビリティ/Usability</v>
      </c>
      <c r="S132" s="310" t="str">
        <f t="shared" si="4"/>
        <v>人間工学/Ergonomics</v>
      </c>
    </row>
    <row r="133" spans="9:19">
      <c r="I133" s="310" t="str">
        <f t="shared" si="3"/>
        <v>小区分61030_知能情報学関連_Intelligent_Informatics</v>
      </c>
      <c r="J133" s="310" t="str">
        <f t="shared" si="4"/>
        <v>探索/Search</v>
      </c>
      <c r="K133" s="310" t="str">
        <f t="shared" si="4"/>
        <v>推論/Reasoning</v>
      </c>
      <c r="L133" s="310" t="str">
        <f t="shared" si="4"/>
        <v>機械学習/Machine Learning</v>
      </c>
      <c r="M133" s="310" t="str">
        <f t="shared" si="4"/>
        <v>知識獲得/Knowledge Acquisition</v>
      </c>
      <c r="N133" s="310" t="str">
        <f t="shared" si="4"/>
        <v>知的システム/Intelligent Systems</v>
      </c>
      <c r="O133" s="310" t="str">
        <f t="shared" si="4"/>
        <v>知能情報処理/Intelligent information processing</v>
      </c>
      <c r="P133" s="310" t="str">
        <f t="shared" si="4"/>
        <v>自然言語処理/Natural Language Processing</v>
      </c>
      <c r="Q133" s="310" t="str">
        <f t="shared" si="4"/>
        <v>データマイニング/Data Mining</v>
      </c>
      <c r="R133" s="310" t="str">
        <f t="shared" si="4"/>
        <v>オントロジー/Ontology</v>
      </c>
      <c r="S133" s="310" t="str">
        <f t="shared" si="4"/>
        <v>エージェントシステム/Agent Systems</v>
      </c>
    </row>
    <row r="134" spans="9:19">
      <c r="I134" s="310" t="str">
        <f t="shared" si="3"/>
        <v>小区分61040_ソフトコンピューティング関連_Soft_Computing</v>
      </c>
      <c r="J134" s="310" t="str">
        <f t="shared" si="4"/>
        <v>ニューラルネットワーク/Neural Networks</v>
      </c>
      <c r="K134" s="310" t="str">
        <f t="shared" si="4"/>
        <v>進化計算/Evolutionary Computation</v>
      </c>
      <c r="L134" s="310" t="str">
        <f t="shared" si="4"/>
        <v>ファジィ理論/Fuzzy Theory</v>
      </c>
      <c r="M134" s="310" t="str">
        <f t="shared" si="4"/>
        <v>カオス/Chaos</v>
      </c>
      <c r="N134" s="310" t="str">
        <f t="shared" si="4"/>
        <v>複雑系/Complex Systems</v>
      </c>
      <c r="O134" s="310" t="str">
        <f t="shared" si="4"/>
        <v>確率的情報処理/Probabilistic Information Processing</v>
      </c>
      <c r="P134" s="310"/>
      <c r="Q134" s="310"/>
      <c r="R134" s="310"/>
      <c r="S134" s="310"/>
    </row>
    <row r="135" spans="9:19">
      <c r="I135" s="310" t="str">
        <f t="shared" si="3"/>
        <v>小区分61050_知能ロボティクス関連_Intelligent_Robotics</v>
      </c>
      <c r="J135" s="310" t="str">
        <f t="shared" si="4"/>
        <v>知能ロボット/Intelligent Robotics</v>
      </c>
      <c r="K135" s="310" t="str">
        <f t="shared" si="4"/>
        <v>行動環境認識/Behavioral Environment Recognition</v>
      </c>
      <c r="L135" s="310" t="str">
        <f t="shared" si="4"/>
        <v>プランニング/Planning</v>
      </c>
      <c r="M135" s="310" t="str">
        <f t="shared" si="4"/>
        <v>感覚行動システム/Sensory-Behavioral Systems</v>
      </c>
      <c r="N135" s="310" t="str">
        <f t="shared" si="4"/>
        <v>自律システム/Autonomous Systems</v>
      </c>
      <c r="O135" s="310" t="str">
        <f t="shared" si="4"/>
        <v>ディジタルヒューマン/Digital Human</v>
      </c>
      <c r="P135" s="310" t="str">
        <f t="shared" si="4"/>
        <v>実世界情報処理/Real-world information processing</v>
      </c>
      <c r="Q135" s="310" t="str">
        <f t="shared" si="4"/>
        <v>物理エージェント/Physical Agents</v>
      </c>
      <c r="R135" s="310" t="str">
        <f t="shared" si="4"/>
        <v>知能化空間/Intelligent Spaces</v>
      </c>
      <c r="S135" s="310"/>
    </row>
    <row r="136" spans="9:19">
      <c r="I136" s="310" t="str">
        <f t="shared" si="3"/>
        <v>小区分61060_感性情報学関連_Sensory_Informatics</v>
      </c>
      <c r="J136" s="310" t="str">
        <f t="shared" si="4"/>
        <v>感性デザイン学/Sensory Design Studies</v>
      </c>
      <c r="K136" s="310" t="str">
        <f t="shared" si="4"/>
        <v>感性認知科学/Sensory and Cognitive Science</v>
      </c>
      <c r="L136" s="310" t="str">
        <f t="shared" si="4"/>
        <v>感性心理学/Psychology of Sensitivity</v>
      </c>
      <c r="M136" s="310" t="str">
        <f t="shared" si="4"/>
        <v>感性ロボティクス/Sensory Robotics</v>
      </c>
      <c r="N136" s="310" t="str">
        <f t="shared" si="4"/>
        <v>感性計測評価/Sensory Measurement and Evaluation</v>
      </c>
      <c r="O136" s="310" t="str">
        <f t="shared" si="4"/>
        <v>感性インタフェース/Sensory Interface</v>
      </c>
      <c r="P136" s="310" t="str">
        <f t="shared" si="4"/>
        <v>感性生理学/Sensory Physiology</v>
      </c>
      <c r="Q136" s="310" t="str">
        <f t="shared" si="4"/>
        <v>感性材料科学/Sensory Materials Science</v>
      </c>
      <c r="R136" s="310" t="str">
        <f t="shared" si="4"/>
        <v>感性教育学/Sensory Pedagogy</v>
      </c>
      <c r="S136" s="310" t="str">
        <f t="shared" si="4"/>
        <v>感性脳科学/Sensory Brain Science</v>
      </c>
    </row>
    <row r="137" spans="9:19">
      <c r="I137" s="310" t="str">
        <f t="shared" si="3"/>
        <v>小区分90010_デザイン学関連_Design_Science</v>
      </c>
      <c r="J137" s="310" t="str">
        <f t="shared" si="4"/>
        <v>情報デザイン/Information Design</v>
      </c>
      <c r="K137" s="310" t="str">
        <f t="shared" si="4"/>
        <v>環境デザイン/Environmental Design</v>
      </c>
      <c r="L137" s="310" t="str">
        <f t="shared" si="4"/>
        <v>工業デザイン/Industrial Design</v>
      </c>
      <c r="M137" s="310" t="str">
        <f t="shared" si="4"/>
        <v>空間デザイン/Spatial Design</v>
      </c>
      <c r="N137" s="310" t="str">
        <f t="shared" si="4"/>
        <v>デザイン史/Design History</v>
      </c>
      <c r="O137" s="310" t="str">
        <f t="shared" si="4"/>
        <v>デザイン論/Design Theory</v>
      </c>
      <c r="P137" s="310" t="str">
        <f t="shared" si="4"/>
        <v>デザイン規格/Design Standards</v>
      </c>
      <c r="Q137" s="310" t="str">
        <f t="shared" si="4"/>
        <v>デザイン支援/Design Support</v>
      </c>
      <c r="R137" s="310" t="str">
        <f t="shared" si="4"/>
        <v>デザイン評価/Design Evaluation</v>
      </c>
      <c r="S137" s="310" t="str">
        <f t="shared" si="4"/>
        <v>デザイン教育/Design Education</v>
      </c>
    </row>
    <row r="138" spans="9:19">
      <c r="I138" s="310" t="str">
        <f t="shared" si="3"/>
        <v>小区分90030_認知科学関連_Cognitive_Science</v>
      </c>
      <c r="J138" s="310" t="str">
        <f t="shared" si="4"/>
        <v>認知科学一般/Cognitive Science</v>
      </c>
      <c r="K138" s="310" t="str">
        <f t="shared" si="4"/>
        <v>認知モデル/Cognitive Modeling</v>
      </c>
      <c r="L138" s="310" t="str">
        <f t="shared" si="4"/>
        <v>感性/Sensitivity</v>
      </c>
      <c r="M138" s="310" t="str">
        <f t="shared" si="4"/>
        <v>ヒューマンファクターズ/Human Factors</v>
      </c>
      <c r="N138" s="310" t="str">
        <f t="shared" si="4"/>
        <v>認知脳科学/Cognitive Brain Science</v>
      </c>
      <c r="O138" s="310" t="str">
        <f t="shared" si="4"/>
        <v>比較認知/Comparative cognition</v>
      </c>
      <c r="P138" s="310" t="str">
        <f t="shared" si="4"/>
        <v>認知言語学/Cognitive Linguistics</v>
      </c>
      <c r="Q138" s="310" t="str">
        <f t="shared" si="4"/>
        <v>認知工学/Cognitive Engineering</v>
      </c>
      <c r="R138" s="310"/>
      <c r="S138" s="310"/>
    </row>
    <row r="139" spans="9:19">
      <c r="I139" s="310"/>
      <c r="K139" s="310"/>
    </row>
    <row r="140" spans="9:19">
      <c r="I140" s="310"/>
      <c r="K140" s="310"/>
    </row>
    <row r="141" spans="9:19">
      <c r="I141" s="310"/>
      <c r="K141" s="310"/>
    </row>
    <row r="142" spans="9:19">
      <c r="I142" s="310"/>
      <c r="K142" s="310"/>
    </row>
    <row r="143" spans="9:19">
      <c r="I143" s="310"/>
      <c r="K143" s="310"/>
    </row>
    <row r="144" spans="9:19">
      <c r="I144" s="310"/>
      <c r="K144" s="310"/>
    </row>
    <row r="145" spans="9:11">
      <c r="I145" s="310"/>
      <c r="K145" s="310"/>
    </row>
    <row r="146" spans="9:11">
      <c r="I146" s="310"/>
      <c r="K146" s="310"/>
    </row>
    <row r="147" spans="9:11">
      <c r="I147" s="310"/>
      <c r="K147" s="310"/>
    </row>
    <row r="148" spans="9:11">
      <c r="I148" s="310"/>
      <c r="K148" s="310"/>
    </row>
    <row r="149" spans="9:11">
      <c r="I149" s="310"/>
      <c r="K149" s="310"/>
    </row>
    <row r="150" spans="9:11">
      <c r="I150" s="310"/>
      <c r="K150" s="310"/>
    </row>
    <row r="151" spans="9:11">
      <c r="I151" s="310"/>
      <c r="K151" s="310"/>
    </row>
    <row r="152" spans="9:11">
      <c r="I152" s="310"/>
      <c r="K152" s="310"/>
    </row>
    <row r="153" spans="9:11">
      <c r="I153" s="310"/>
      <c r="K153" s="310"/>
    </row>
    <row r="154" spans="9:11">
      <c r="I154" s="310"/>
      <c r="K154" s="310"/>
    </row>
    <row r="155" spans="9:11">
      <c r="I155" s="310"/>
      <c r="K155" s="310"/>
    </row>
    <row r="156" spans="9:11">
      <c r="I156" s="310"/>
      <c r="K156" s="310"/>
    </row>
    <row r="157" spans="9:11">
      <c r="I157" s="310"/>
      <c r="K157" s="310"/>
    </row>
    <row r="158" spans="9:11">
      <c r="I158" s="310"/>
      <c r="K158" s="310"/>
    </row>
    <row r="159" spans="9:11">
      <c r="I159" s="310"/>
      <c r="K159" s="310"/>
    </row>
    <row r="160" spans="9:11">
      <c r="I160" s="310"/>
      <c r="K160" s="310"/>
    </row>
    <row r="161" spans="9:11">
      <c r="I161" s="310"/>
      <c r="K161" s="310"/>
    </row>
    <row r="162" spans="9:11">
      <c r="I162" s="310"/>
      <c r="K162" s="310"/>
    </row>
    <row r="163" spans="9:11">
      <c r="I163" s="310"/>
      <c r="K163" s="310"/>
    </row>
    <row r="164" spans="9:11">
      <c r="I164" s="310"/>
      <c r="K164" s="310"/>
    </row>
    <row r="165" spans="9:11">
      <c r="I165" s="310"/>
      <c r="K165" s="310"/>
    </row>
    <row r="166" spans="9:11">
      <c r="I166" s="310"/>
      <c r="K166" s="310"/>
    </row>
    <row r="167" spans="9:11">
      <c r="I167" s="310"/>
      <c r="K167" s="310"/>
    </row>
    <row r="168" spans="9:11">
      <c r="I168" s="310"/>
      <c r="K168" s="310"/>
    </row>
    <row r="169" spans="9:11">
      <c r="I169" s="310"/>
      <c r="K169" s="310"/>
    </row>
    <row r="170" spans="9:11">
      <c r="I170" s="310"/>
      <c r="K170" s="310"/>
    </row>
    <row r="171" spans="9:11">
      <c r="I171" s="310"/>
      <c r="K171" s="310"/>
    </row>
    <row r="172" spans="9:11">
      <c r="I172" s="310"/>
      <c r="K172" s="310"/>
    </row>
    <row r="173" spans="9:11">
      <c r="I173" s="310"/>
      <c r="K173" s="310"/>
    </row>
    <row r="174" spans="9:11">
      <c r="I174" s="310"/>
      <c r="K174" s="310"/>
    </row>
    <row r="175" spans="9:11">
      <c r="I175" s="310"/>
      <c r="K175" s="310"/>
    </row>
    <row r="176" spans="9:11">
      <c r="I176" s="310"/>
      <c r="K176" s="310"/>
    </row>
    <row r="177" spans="9:11">
      <c r="I177" s="310"/>
      <c r="K177" s="310"/>
    </row>
    <row r="178" spans="9:11">
      <c r="I178" s="310"/>
      <c r="K178" s="310"/>
    </row>
    <row r="179" spans="9:11">
      <c r="I179" s="310"/>
      <c r="K179" s="310"/>
    </row>
    <row r="180" spans="9:11">
      <c r="I180" s="310"/>
      <c r="K180" s="310"/>
    </row>
    <row r="181" spans="9:11">
      <c r="I181" s="310"/>
      <c r="K181" s="310"/>
    </row>
    <row r="182" spans="9:11">
      <c r="I182" s="310"/>
      <c r="K182" s="310"/>
    </row>
    <row r="183" spans="9:11">
      <c r="I183" s="310"/>
      <c r="K183" s="310"/>
    </row>
    <row r="184" spans="9:11">
      <c r="I184" s="310"/>
      <c r="K184" s="310"/>
    </row>
    <row r="185" spans="9:11">
      <c r="I185" s="310"/>
      <c r="K185" s="310"/>
    </row>
    <row r="186" spans="9:11">
      <c r="K186" s="310"/>
    </row>
    <row r="187" spans="9:11">
      <c r="K187" s="310"/>
    </row>
    <row r="188" spans="9:11">
      <c r="K188" s="310"/>
    </row>
    <row r="189" spans="9:11">
      <c r="K189" s="310"/>
    </row>
    <row r="190" spans="9:11">
      <c r="K190" s="310"/>
    </row>
    <row r="191" spans="9:11">
      <c r="K191" s="310"/>
    </row>
    <row r="192" spans="9:11">
      <c r="K192" s="310"/>
    </row>
    <row r="193" spans="11:11">
      <c r="K193" s="310"/>
    </row>
    <row r="194" spans="11:11">
      <c r="K194" s="310"/>
    </row>
    <row r="195" spans="11:11">
      <c r="K195" s="310"/>
    </row>
    <row r="196" spans="11:11">
      <c r="K196" s="310"/>
    </row>
    <row r="197" spans="11:11">
      <c r="K197" s="310"/>
    </row>
    <row r="198" spans="11:11">
      <c r="K198" s="310"/>
    </row>
    <row r="199" spans="11:11">
      <c r="K199" s="310"/>
    </row>
    <row r="200" spans="11:11">
      <c r="K200" s="310"/>
    </row>
    <row r="201" spans="11:11">
      <c r="K201" s="310"/>
    </row>
    <row r="202" spans="11:11">
      <c r="K202" s="310"/>
    </row>
    <row r="203" spans="11:11">
      <c r="K203" s="310"/>
    </row>
    <row r="204" spans="11:11">
      <c r="K204" s="310"/>
    </row>
    <row r="205" spans="11:11">
      <c r="K205" s="310"/>
    </row>
    <row r="206" spans="11:11">
      <c r="K206" s="310"/>
    </row>
    <row r="207" spans="11:11">
      <c r="K207" s="310"/>
    </row>
    <row r="208" spans="11:11">
      <c r="K208" s="310"/>
    </row>
    <row r="209" spans="11:11">
      <c r="K209" s="310"/>
    </row>
    <row r="210" spans="11:11">
      <c r="K210" s="310"/>
    </row>
    <row r="211" spans="11:11">
      <c r="K211" s="310"/>
    </row>
    <row r="212" spans="11:11">
      <c r="K212" s="310"/>
    </row>
    <row r="213" spans="11:11">
      <c r="K213" s="310"/>
    </row>
    <row r="214" spans="11:11">
      <c r="K214" s="310"/>
    </row>
    <row r="215" spans="11:11">
      <c r="K215" s="310"/>
    </row>
    <row r="216" spans="11:11">
      <c r="K216" s="310"/>
    </row>
    <row r="217" spans="11:11">
      <c r="K217" s="310"/>
    </row>
    <row r="218" spans="11:11">
      <c r="K218" s="310"/>
    </row>
    <row r="219" spans="11:11">
      <c r="K219" s="310"/>
    </row>
    <row r="220" spans="11:11">
      <c r="K220" s="310"/>
    </row>
    <row r="221" spans="11:11">
      <c r="K221" s="310"/>
    </row>
    <row r="222" spans="11:11">
      <c r="K222" s="310"/>
    </row>
    <row r="223" spans="11:11">
      <c r="K223" s="310"/>
    </row>
    <row r="224" spans="11:11">
      <c r="K224" s="310"/>
    </row>
    <row r="225" spans="11:11">
      <c r="K225" s="310"/>
    </row>
    <row r="226" spans="11:11">
      <c r="K226" s="310"/>
    </row>
    <row r="227" spans="11:11">
      <c r="K227" s="310"/>
    </row>
    <row r="228" spans="11:11">
      <c r="K228" s="310"/>
    </row>
    <row r="229" spans="11:11">
      <c r="K229" s="310"/>
    </row>
    <row r="230" spans="11:11">
      <c r="K230" s="310"/>
    </row>
    <row r="231" spans="11:11">
      <c r="K231" s="310"/>
    </row>
    <row r="232" spans="11:11">
      <c r="K232" s="310"/>
    </row>
    <row r="233" spans="11:11">
      <c r="K233" s="310"/>
    </row>
    <row r="234" spans="11:11">
      <c r="K234" s="310"/>
    </row>
    <row r="235" spans="11:11">
      <c r="K235" s="310"/>
    </row>
    <row r="236" spans="11:11">
      <c r="K236" s="310"/>
    </row>
    <row r="237" spans="11:11">
      <c r="K237" s="310"/>
    </row>
    <row r="238" spans="11:11">
      <c r="K238" s="310"/>
    </row>
    <row r="239" spans="11:11">
      <c r="K239" s="310"/>
    </row>
    <row r="240" spans="11:11">
      <c r="K240" s="310"/>
    </row>
    <row r="241" spans="11:11">
      <c r="K241" s="310"/>
    </row>
    <row r="242" spans="11:11">
      <c r="K242" s="310"/>
    </row>
    <row r="243" spans="11:11">
      <c r="K243" s="310"/>
    </row>
    <row r="244" spans="11:11">
      <c r="K244" s="310"/>
    </row>
    <row r="245" spans="11:11">
      <c r="K245" s="310"/>
    </row>
    <row r="246" spans="11:11">
      <c r="K246" s="310"/>
    </row>
    <row r="247" spans="11:11">
      <c r="K247" s="310"/>
    </row>
    <row r="248" spans="11:11">
      <c r="K248" s="310"/>
    </row>
    <row r="249" spans="11:11">
      <c r="K249" s="310"/>
    </row>
    <row r="250" spans="11:11">
      <c r="K250" s="310"/>
    </row>
    <row r="251" spans="11:11">
      <c r="K251" s="310"/>
    </row>
    <row r="252" spans="11:11">
      <c r="K252" s="310"/>
    </row>
    <row r="253" spans="11:11">
      <c r="K253" s="310"/>
    </row>
    <row r="254" spans="11:11">
      <c r="K254" s="310"/>
    </row>
    <row r="255" spans="11:11">
      <c r="K255" s="310"/>
    </row>
    <row r="256" spans="11:11">
      <c r="K256" s="310"/>
    </row>
    <row r="257" spans="11:11">
      <c r="K257" s="310"/>
    </row>
    <row r="258" spans="11:11">
      <c r="K258" s="310"/>
    </row>
    <row r="259" spans="11:11">
      <c r="K259" s="310"/>
    </row>
    <row r="260" spans="11:11">
      <c r="K260" s="310"/>
    </row>
    <row r="261" spans="11:11">
      <c r="K261" s="310"/>
    </row>
    <row r="262" spans="11:11">
      <c r="K262" s="310"/>
    </row>
    <row r="263" spans="11:11">
      <c r="K263" s="310"/>
    </row>
    <row r="264" spans="11:11">
      <c r="K264" s="310"/>
    </row>
    <row r="265" spans="11:11">
      <c r="K265" s="310"/>
    </row>
    <row r="266" spans="11:11">
      <c r="K266" s="310"/>
    </row>
    <row r="267" spans="11:11">
      <c r="K267" s="310"/>
    </row>
    <row r="268" spans="11:11">
      <c r="K268" s="310"/>
    </row>
    <row r="269" spans="11:11">
      <c r="K269" s="310"/>
    </row>
    <row r="270" spans="11:11">
      <c r="K270" s="310"/>
    </row>
    <row r="271" spans="11:11">
      <c r="K271" s="310"/>
    </row>
    <row r="272" spans="11:11">
      <c r="K272" s="310"/>
    </row>
    <row r="273" spans="11:11">
      <c r="K273" s="310"/>
    </row>
    <row r="274" spans="11:11">
      <c r="K274" s="310"/>
    </row>
    <row r="275" spans="11:11">
      <c r="K275" s="310"/>
    </row>
    <row r="276" spans="11:11">
      <c r="K276" s="310"/>
    </row>
    <row r="277" spans="11:11">
      <c r="K277" s="310"/>
    </row>
    <row r="278" spans="11:11">
      <c r="K278" s="310"/>
    </row>
    <row r="279" spans="11:11">
      <c r="K279" s="310"/>
    </row>
    <row r="280" spans="11:11">
      <c r="K280" s="310"/>
    </row>
    <row r="281" spans="11:11">
      <c r="K281" s="310"/>
    </row>
    <row r="282" spans="11:11">
      <c r="K282" s="310"/>
    </row>
    <row r="283" spans="11:11">
      <c r="K283" s="310"/>
    </row>
    <row r="284" spans="11:11">
      <c r="K284" s="310"/>
    </row>
    <row r="285" spans="11:11">
      <c r="K285" s="310"/>
    </row>
    <row r="286" spans="11:11">
      <c r="K286" s="310"/>
    </row>
    <row r="287" spans="11:11">
      <c r="K287" s="310"/>
    </row>
    <row r="288" spans="11:11">
      <c r="K288" s="310"/>
    </row>
    <row r="289" spans="11:11">
      <c r="K289" s="310"/>
    </row>
    <row r="290" spans="11:11">
      <c r="K290" s="310"/>
    </row>
    <row r="291" spans="11:11">
      <c r="K291" s="310"/>
    </row>
    <row r="292" spans="11:11">
      <c r="K292" s="310"/>
    </row>
    <row r="293" spans="11:11">
      <c r="K293" s="310"/>
    </row>
    <row r="294" spans="11:11">
      <c r="K294" s="310"/>
    </row>
    <row r="295" spans="11:11">
      <c r="K295" s="310"/>
    </row>
    <row r="296" spans="11:11">
      <c r="K296" s="310"/>
    </row>
    <row r="297" spans="11:11">
      <c r="K297" s="310"/>
    </row>
    <row r="298" spans="11:11">
      <c r="K298" s="310"/>
    </row>
    <row r="299" spans="11:11">
      <c r="K299" s="310"/>
    </row>
    <row r="300" spans="11:11">
      <c r="K300" s="310"/>
    </row>
    <row r="301" spans="11:11">
      <c r="K301" s="310"/>
    </row>
    <row r="302" spans="11:11">
      <c r="K302" s="310"/>
    </row>
    <row r="303" spans="11:11">
      <c r="K303" s="310"/>
    </row>
    <row r="304" spans="11:11">
      <c r="K304" s="310"/>
    </row>
    <row r="305" spans="11:11">
      <c r="K305" s="310"/>
    </row>
    <row r="306" spans="11:11">
      <c r="K306" s="310"/>
    </row>
    <row r="307" spans="11:11">
      <c r="K307" s="310"/>
    </row>
    <row r="308" spans="11:11">
      <c r="K308" s="310"/>
    </row>
    <row r="309" spans="11:11">
      <c r="K309" s="310"/>
    </row>
    <row r="310" spans="11:11">
      <c r="K310" s="310"/>
    </row>
    <row r="311" spans="11:11">
      <c r="K311" s="310"/>
    </row>
    <row r="312" spans="11:11">
      <c r="K312" s="310"/>
    </row>
    <row r="313" spans="11:11">
      <c r="K313" s="310"/>
    </row>
    <row r="314" spans="11:11">
      <c r="K314" s="310"/>
    </row>
    <row r="315" spans="11:11">
      <c r="K315" s="310"/>
    </row>
    <row r="316" spans="11:11">
      <c r="K316" s="310"/>
    </row>
    <row r="317" spans="11:11">
      <c r="K317" s="310"/>
    </row>
    <row r="318" spans="11:11">
      <c r="K318" s="310"/>
    </row>
    <row r="319" spans="11:11">
      <c r="K319" s="310"/>
    </row>
    <row r="320" spans="11:11">
      <c r="K320" s="310"/>
    </row>
    <row r="321" spans="11:11">
      <c r="K321" s="310"/>
    </row>
    <row r="322" spans="11:11">
      <c r="K322" s="310"/>
    </row>
    <row r="323" spans="11:11">
      <c r="K323" s="310"/>
    </row>
    <row r="324" spans="11:11">
      <c r="K324" s="310"/>
    </row>
    <row r="325" spans="11:11">
      <c r="K325" s="310"/>
    </row>
    <row r="326" spans="11:11">
      <c r="K326" s="310"/>
    </row>
    <row r="327" spans="11:11">
      <c r="K327" s="310"/>
    </row>
    <row r="328" spans="11:11">
      <c r="K328" s="310"/>
    </row>
    <row r="329" spans="11:11">
      <c r="K329" s="310"/>
    </row>
    <row r="330" spans="11:11">
      <c r="K330" s="310"/>
    </row>
    <row r="331" spans="11:11">
      <c r="K331" s="310"/>
    </row>
    <row r="332" spans="11:11">
      <c r="K332" s="310"/>
    </row>
    <row r="333" spans="11:11">
      <c r="K333" s="310"/>
    </row>
    <row r="334" spans="11:11">
      <c r="K334" s="310"/>
    </row>
    <row r="335" spans="11:11">
      <c r="K335" s="310"/>
    </row>
    <row r="336" spans="11:11">
      <c r="K336" s="310"/>
    </row>
    <row r="337" spans="11:11">
      <c r="K337" s="310"/>
    </row>
    <row r="338" spans="11:11">
      <c r="K338" s="310"/>
    </row>
    <row r="339" spans="11:11">
      <c r="K339" s="310"/>
    </row>
    <row r="340" spans="11:11">
      <c r="K340" s="310"/>
    </row>
    <row r="341" spans="11:11">
      <c r="K341" s="310"/>
    </row>
    <row r="342" spans="11:11">
      <c r="K342" s="310"/>
    </row>
    <row r="343" spans="11:11">
      <c r="K343" s="310"/>
    </row>
    <row r="344" spans="11:11">
      <c r="K344" s="310"/>
    </row>
    <row r="345" spans="11:11">
      <c r="K345" s="310"/>
    </row>
    <row r="346" spans="11:11">
      <c r="K346" s="310"/>
    </row>
    <row r="347" spans="11:11">
      <c r="K347" s="310"/>
    </row>
    <row r="348" spans="11:11">
      <c r="K348" s="310"/>
    </row>
    <row r="349" spans="11:11">
      <c r="K349" s="310"/>
    </row>
    <row r="350" spans="11:11">
      <c r="K350" s="310"/>
    </row>
    <row r="351" spans="11:11">
      <c r="K351" s="310"/>
    </row>
    <row r="352" spans="11:11">
      <c r="K352" s="310"/>
    </row>
    <row r="353" spans="11:11">
      <c r="K353" s="310"/>
    </row>
    <row r="354" spans="11:11">
      <c r="K354" s="310"/>
    </row>
    <row r="355" spans="11:11">
      <c r="K355" s="310"/>
    </row>
    <row r="356" spans="11:11">
      <c r="K356" s="310"/>
    </row>
    <row r="357" spans="11:11">
      <c r="K357" s="310"/>
    </row>
    <row r="358" spans="11:11">
      <c r="K358" s="310"/>
    </row>
    <row r="359" spans="11:11">
      <c r="K359" s="310"/>
    </row>
    <row r="360" spans="11:11">
      <c r="K360" s="310"/>
    </row>
    <row r="361" spans="11:11">
      <c r="K361" s="310"/>
    </row>
    <row r="362" spans="11:11">
      <c r="K362" s="310"/>
    </row>
    <row r="363" spans="11:11">
      <c r="K363" s="310"/>
    </row>
    <row r="364" spans="11:11">
      <c r="K364" s="310"/>
    </row>
    <row r="365" spans="11:11">
      <c r="K365" s="310"/>
    </row>
    <row r="366" spans="11:11">
      <c r="K366" s="310"/>
    </row>
    <row r="367" spans="11:11">
      <c r="K367" s="310"/>
    </row>
    <row r="368" spans="11:11">
      <c r="K368" s="310"/>
    </row>
    <row r="369" spans="11:11">
      <c r="K369" s="310"/>
    </row>
    <row r="370" spans="11:11">
      <c r="K370" s="310"/>
    </row>
    <row r="371" spans="11:11">
      <c r="K371" s="310"/>
    </row>
    <row r="372" spans="11:11">
      <c r="K372" s="310"/>
    </row>
    <row r="373" spans="11:11">
      <c r="K373" s="310"/>
    </row>
    <row r="374" spans="11:11">
      <c r="K374" s="310"/>
    </row>
    <row r="375" spans="11:11">
      <c r="K375" s="310"/>
    </row>
    <row r="376" spans="11:11">
      <c r="K376" s="310"/>
    </row>
    <row r="377" spans="11:11">
      <c r="K377" s="310"/>
    </row>
    <row r="378" spans="11:11">
      <c r="K378" s="310"/>
    </row>
    <row r="379" spans="11:11">
      <c r="K379" s="310"/>
    </row>
    <row r="380" spans="11:11">
      <c r="K380" s="310"/>
    </row>
    <row r="381" spans="11:11">
      <c r="K381" s="310"/>
    </row>
    <row r="382" spans="11:11">
      <c r="K382" s="310"/>
    </row>
    <row r="383" spans="11:11">
      <c r="K383" s="310"/>
    </row>
    <row r="384" spans="11:11">
      <c r="K384" s="310"/>
    </row>
    <row r="385" spans="11:11">
      <c r="K385" s="310"/>
    </row>
    <row r="386" spans="11:11">
      <c r="K386" s="310"/>
    </row>
    <row r="387" spans="11:11">
      <c r="K387" s="310"/>
    </row>
    <row r="388" spans="11:11">
      <c r="K388" s="310"/>
    </row>
    <row r="389" spans="11:11">
      <c r="K389" s="310"/>
    </row>
    <row r="390" spans="11:11">
      <c r="K390" s="310"/>
    </row>
    <row r="391" spans="11:11">
      <c r="K391" s="310"/>
    </row>
    <row r="392" spans="11:11">
      <c r="K392" s="310"/>
    </row>
    <row r="393" spans="11:11">
      <c r="K393" s="310"/>
    </row>
    <row r="394" spans="11:11">
      <c r="K394" s="310"/>
    </row>
  </sheetData>
  <sheetProtection algorithmName="SHA-512" hashValue="q8bdqHUR+CQVZL0Xo18E0st/pXON2/j/QHO9eFglIC0NC8VohRkWYIbaz01r5NWtLBcXpQCV7hgWDZDqML7rjA==" saltValue="Yjv/URpqDs4VRipPCABILw==" spinCount="100000" sheet="1" objects="1" scenarios="1"/>
  <phoneticPr fontId="1"/>
  <conditionalFormatting sqref="D17">
    <cfRule type="expression" dxfId="24" priority="1">
      <formula>COUNTIF($D$17,"←入力*")</formula>
    </cfRule>
  </conditionalFormatting>
  <dataValidations count="17">
    <dataValidation type="list" allowBlank="1" showInputMessage="1" showErrorMessage="1" sqref="B10" xr:uid="{00000000-0002-0000-0200-000000000000}">
      <formula1>$F9:$F12</formula1>
    </dataValidation>
    <dataValidation type="list" allowBlank="1" showInputMessage="1" showErrorMessage="1" sqref="B15" xr:uid="{00000000-0002-0000-0200-000001000000}">
      <formula1>"新規課題/New project,継続課題/Continued project"</formula1>
    </dataValidation>
    <dataValidation type="list" showInputMessage="1" showErrorMessage="1" sqref="C46:D53" xr:uid="{00000000-0002-0000-0200-000002000000}">
      <formula1>$E$4:$E$5</formula1>
    </dataValidation>
    <dataValidation type="list" allowBlank="1" showInputMessage="1" showErrorMessage="1" sqref="B9" xr:uid="{00000000-0002-0000-0200-000003000000}">
      <formula1>$E$9:$E$10</formula1>
    </dataValidation>
    <dataValidation showInputMessage="1" showErrorMessage="1" sqref="B46:B53 B57:D67" xr:uid="{00000000-0002-0000-0200-000004000000}"/>
    <dataValidation type="custom" operator="lessThan" showInputMessage="1" showErrorMessage="1" error="新規課題では入力できません/cannot input for New projext" sqref="B16" xr:uid="{00000000-0002-0000-0200-000006000000}">
      <formula1>(B15="継続課題/Continued project")</formula1>
    </dataValidation>
    <dataValidation type="list" allowBlank="1" showInputMessage="1" showErrorMessage="1" sqref="B11:B14" xr:uid="{985F6DA1-8872-4C76-8B55-0642AC65FE6F}">
      <formula1>$E$4:$E$5</formula1>
    </dataValidation>
    <dataValidation type="list" operator="lessThan" allowBlank="1" showInputMessage="1" showErrorMessage="1" error="新規課題では入力できません" sqref="B17" xr:uid="{5E59873D-EDEB-4730-A9AD-72D29DBBCD57}">
      <formula1>$I$121:$I$138</formula1>
    </dataValidation>
    <dataValidation type="list" allowBlank="1" showInputMessage="1" showErrorMessage="1" sqref="C17" xr:uid="{3346CDF1-3A09-4FFD-8D5C-593526CFCD33}">
      <formula1>INDIRECT($B$17)</formula1>
    </dataValidation>
    <dataValidation type="list" allowBlank="1" showInputMessage="1" showErrorMessage="1" sqref="C22" xr:uid="{375DF9AC-0515-2942-8FFE-FB1ADE92FA4E}">
      <formula1>INDIRECT($B$22)</formula1>
    </dataValidation>
    <dataValidation type="list" allowBlank="1" showInputMessage="1" showErrorMessage="1" sqref="C23" xr:uid="{14FD0A75-7C16-0D48-B7D6-4FB1DC4B95F3}">
      <formula1>INDIRECT(B23)</formula1>
    </dataValidation>
    <dataValidation type="list" allowBlank="1" showInputMessage="1" showErrorMessage="1" sqref="C18" xr:uid="{C148ECB5-22EC-1E48-B401-0C13D1D0B6BE}">
      <formula1>INDIRECT($B$18)</formula1>
    </dataValidation>
    <dataValidation type="list" allowBlank="1" showInputMessage="1" showErrorMessage="1" sqref="C19" xr:uid="{2976B428-3D91-D448-B1CF-8C22C6FC496C}">
      <formula1>INDIRECT($B$19)</formula1>
    </dataValidation>
    <dataValidation type="list" allowBlank="1" showInputMessage="1" showErrorMessage="1" sqref="C20" xr:uid="{046C6C0F-0FC0-4445-8FD8-A00F1092F47B}">
      <formula1>INDIRECT($B$20)</formula1>
    </dataValidation>
    <dataValidation type="list" allowBlank="1" showInputMessage="1" showErrorMessage="1" sqref="C21" xr:uid="{33F6E34C-83FF-F044-B68B-5345B5F0B538}">
      <formula1>INDIRECT($B$21)</formula1>
    </dataValidation>
    <dataValidation type="list" operator="lessThan" allowBlank="1" showInputMessage="1" showErrorMessage="1" sqref="B18:B21" xr:uid="{39082B47-944B-4B34-A5A9-726FE14B7D46}">
      <formula1>$I$121:$I$138</formula1>
    </dataValidation>
    <dataValidation type="list" operator="lessThan" showInputMessage="1" showErrorMessage="1" sqref="B22:B23" xr:uid="{4753C861-9999-2A4F-8789-B995A62390D0}">
      <formula1>$I$19:$I$81</formula1>
    </dataValidation>
  </dataValidations>
  <pageMargins left="0.51181102362204722" right="0.31496062992125984" top="0.55118110236220474" bottom="0.55118110236220474" header="0.31496062992125984" footer="0.31496062992125984"/>
  <pageSetup paperSize="9" scale="4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U100"/>
  <sheetViews>
    <sheetView workbookViewId="0">
      <selection activeCell="H2" sqref="H2"/>
    </sheetView>
  </sheetViews>
  <sheetFormatPr defaultColWidth="9" defaultRowHeight="18.75" customHeight="1"/>
  <cols>
    <col min="1" max="1" width="26.625" style="1" customWidth="1"/>
    <col min="2" max="2" width="12.5" style="1" customWidth="1"/>
    <col min="3" max="3" width="12.625" style="1" customWidth="1"/>
    <col min="4" max="4" width="12.125" style="1" customWidth="1"/>
    <col min="5" max="5" width="9.5" style="1" customWidth="1"/>
    <col min="6" max="7" width="10.625" style="1" customWidth="1"/>
    <col min="8" max="8" width="43.125" style="1" customWidth="1"/>
    <col min="9" max="9" width="16.625" style="1" customWidth="1"/>
    <col min="10" max="10" width="19.125" style="1" customWidth="1"/>
    <col min="11" max="11" width="18.125" style="1" customWidth="1"/>
    <col min="12" max="12" width="32.125" style="1" customWidth="1"/>
    <col min="13" max="13" width="3.125" style="1" customWidth="1"/>
    <col min="14" max="14" width="10.125" style="1" hidden="1" customWidth="1"/>
    <col min="15" max="15" width="11.5" style="1" hidden="1" customWidth="1"/>
    <col min="16" max="16" width="12.125" style="1" hidden="1" customWidth="1"/>
    <col min="17" max="17" width="11.625" style="1" hidden="1" customWidth="1"/>
    <col min="18" max="18" width="12.625" style="1" hidden="1" customWidth="1"/>
    <col min="19" max="19" width="16.625" style="1" hidden="1" customWidth="1"/>
    <col min="20" max="20" width="47.625" style="1" hidden="1" customWidth="1"/>
    <col min="21" max="21" width="0" style="1" hidden="1" customWidth="1"/>
    <col min="22" max="16384" width="9" style="1"/>
  </cols>
  <sheetData>
    <row r="1" spans="1:21" ht="19.899999999999999">
      <c r="A1" s="1" t="s">
        <v>822</v>
      </c>
      <c r="H1" s="439" t="s">
        <v>36</v>
      </c>
      <c r="J1" s="287"/>
      <c r="N1" s="79" t="s">
        <v>823</v>
      </c>
    </row>
    <row r="2" spans="1:21" ht="33" customHeight="1">
      <c r="A2" s="9" t="s">
        <v>824</v>
      </c>
      <c r="B2" s="6"/>
      <c r="C2" s="6"/>
      <c r="D2" s="6"/>
      <c r="E2" s="664"/>
      <c r="F2" s="665"/>
      <c r="G2" s="666"/>
      <c r="H2" s="286" t="str">
        <f>IF(COUNTIFS(B6:B101,"&lt;&gt;",F6:F101,"(選択下さい)")+COUNTIFS(B6:B101,"&lt;&gt;",J6:J101,"")+COUNTIFS(B6:B101,"&lt;&gt;",L6:L101,"")&gt;0,"F/J/L列の入力漏れが多くなっています。F/J/L列の入力は必須です。 /　Columns F/J/L are often missing. Columns F/J/L are mandatory.","")</f>
        <v/>
      </c>
      <c r="I2" s="6"/>
      <c r="J2" s="6"/>
      <c r="K2" s="6"/>
      <c r="L2" s="6"/>
      <c r="O2" s="210" t="s">
        <v>825</v>
      </c>
      <c r="P2" s="210" t="s">
        <v>61</v>
      </c>
      <c r="Q2" s="210" t="s">
        <v>61</v>
      </c>
      <c r="R2" s="211" t="s">
        <v>826</v>
      </c>
      <c r="S2" s="212" t="s">
        <v>61</v>
      </c>
      <c r="T2" s="284" t="s">
        <v>249</v>
      </c>
    </row>
    <row r="3" spans="1:21" ht="16.5" customHeight="1">
      <c r="A3" s="209" t="s">
        <v>827</v>
      </c>
      <c r="B3" s="7"/>
      <c r="C3" s="7"/>
      <c r="D3" s="7"/>
      <c r="E3" s="7"/>
      <c r="F3" s="7"/>
      <c r="G3" s="8"/>
      <c r="H3" s="7"/>
      <c r="I3" s="7"/>
      <c r="J3" s="7"/>
      <c r="K3" s="7"/>
      <c r="L3" s="7"/>
      <c r="O3" s="210" t="s">
        <v>828</v>
      </c>
      <c r="P3" s="210" t="s">
        <v>829</v>
      </c>
      <c r="Q3" s="212" t="s">
        <v>830</v>
      </c>
      <c r="R3" s="210" t="s">
        <v>831</v>
      </c>
      <c r="S3" s="283" t="s">
        <v>832</v>
      </c>
      <c r="T3" s="284" t="s">
        <v>256</v>
      </c>
    </row>
    <row r="4" spans="1:21" ht="16.5" customHeight="1">
      <c r="A4" s="8" t="s">
        <v>833</v>
      </c>
      <c r="B4" s="7"/>
      <c r="C4" s="7"/>
      <c r="D4" s="24"/>
      <c r="E4" s="7"/>
      <c r="F4" s="7"/>
      <c r="G4" s="8"/>
      <c r="H4" s="7"/>
      <c r="I4" s="7"/>
      <c r="J4" s="7"/>
      <c r="K4" s="7"/>
      <c r="L4" s="7"/>
      <c r="O4" s="213"/>
      <c r="P4" s="213"/>
      <c r="Q4" s="214" t="s">
        <v>834</v>
      </c>
      <c r="R4" s="208" t="s">
        <v>835</v>
      </c>
      <c r="S4" s="1" t="s">
        <v>836</v>
      </c>
      <c r="T4" s="284" t="s">
        <v>261</v>
      </c>
    </row>
    <row r="5" spans="1:21" ht="82.5" customHeight="1">
      <c r="A5" s="207" t="s">
        <v>837</v>
      </c>
      <c r="B5" s="207" t="s">
        <v>838</v>
      </c>
      <c r="C5" s="207" t="s">
        <v>839</v>
      </c>
      <c r="D5" s="207" t="s">
        <v>840</v>
      </c>
      <c r="E5" s="207" t="s">
        <v>841</v>
      </c>
      <c r="F5" s="207" t="s">
        <v>842</v>
      </c>
      <c r="G5" s="207" t="s">
        <v>843</v>
      </c>
      <c r="H5" s="207" t="s">
        <v>844</v>
      </c>
      <c r="I5" s="455" t="s">
        <v>845</v>
      </c>
      <c r="J5" s="207" t="s">
        <v>846</v>
      </c>
      <c r="K5" s="207" t="s">
        <v>847</v>
      </c>
      <c r="L5" s="207" t="s">
        <v>848</v>
      </c>
      <c r="M5" s="5"/>
      <c r="N5" s="5"/>
      <c r="O5" s="216"/>
      <c r="P5" s="216"/>
      <c r="Q5" s="216"/>
      <c r="R5" s="210" t="s">
        <v>849</v>
      </c>
      <c r="S5" s="1" t="s">
        <v>34</v>
      </c>
      <c r="T5" s="284" t="s">
        <v>265</v>
      </c>
      <c r="U5" s="3"/>
    </row>
    <row r="6" spans="1:21" ht="17.25" customHeight="1">
      <c r="A6" s="208" t="s">
        <v>850</v>
      </c>
      <c r="B6" s="234"/>
      <c r="C6" s="234" t="s">
        <v>61</v>
      </c>
      <c r="D6" s="234" t="s">
        <v>851</v>
      </c>
      <c r="E6" s="234" t="s">
        <v>61</v>
      </c>
      <c r="F6" s="234" t="s">
        <v>826</v>
      </c>
      <c r="G6" s="235"/>
      <c r="H6" s="234"/>
      <c r="I6" s="234" t="s">
        <v>852</v>
      </c>
      <c r="J6" s="234"/>
      <c r="K6" s="236"/>
      <c r="L6" s="236"/>
      <c r="O6" s="216"/>
      <c r="P6" s="216"/>
      <c r="Q6" s="216"/>
      <c r="R6" s="210" t="s">
        <v>853</v>
      </c>
      <c r="S6" s="1" t="s">
        <v>34</v>
      </c>
      <c r="T6" s="284" t="s">
        <v>269</v>
      </c>
    </row>
    <row r="7" spans="1:21" ht="17.25" customHeight="1">
      <c r="A7" s="234" t="s">
        <v>854</v>
      </c>
      <c r="B7" s="234"/>
      <c r="C7" s="234" t="s">
        <v>61</v>
      </c>
      <c r="D7" s="234" t="s">
        <v>855</v>
      </c>
      <c r="E7" s="234" t="s">
        <v>61</v>
      </c>
      <c r="F7" s="234" t="s">
        <v>826</v>
      </c>
      <c r="G7" s="234" t="s">
        <v>61</v>
      </c>
      <c r="H7" s="234"/>
      <c r="I7" s="234" t="s">
        <v>852</v>
      </c>
      <c r="J7" s="234"/>
      <c r="K7" s="236"/>
      <c r="L7" s="236"/>
      <c r="T7" s="284" t="s">
        <v>276</v>
      </c>
    </row>
    <row r="8" spans="1:21" ht="17.25" customHeight="1">
      <c r="A8" s="234" t="s">
        <v>856</v>
      </c>
      <c r="B8" s="234"/>
      <c r="C8" s="234" t="s">
        <v>61</v>
      </c>
      <c r="D8" s="234" t="s">
        <v>855</v>
      </c>
      <c r="E8" s="234" t="s">
        <v>61</v>
      </c>
      <c r="F8" s="234" t="s">
        <v>826</v>
      </c>
      <c r="G8" s="234" t="s">
        <v>61</v>
      </c>
      <c r="H8" s="234"/>
      <c r="I8" s="234" t="s">
        <v>852</v>
      </c>
      <c r="J8" s="234"/>
      <c r="K8" s="236"/>
      <c r="L8" s="236"/>
      <c r="S8" s="1" t="s">
        <v>34</v>
      </c>
      <c r="T8" s="284" t="s">
        <v>280</v>
      </c>
    </row>
    <row r="9" spans="1:21" ht="17.25" customHeight="1">
      <c r="A9" s="234" t="s">
        <v>856</v>
      </c>
      <c r="B9" s="234"/>
      <c r="C9" s="234" t="s">
        <v>61</v>
      </c>
      <c r="D9" s="234" t="s">
        <v>855</v>
      </c>
      <c r="E9" s="234" t="s">
        <v>61</v>
      </c>
      <c r="F9" s="234" t="s">
        <v>826</v>
      </c>
      <c r="G9" s="234" t="s">
        <v>61</v>
      </c>
      <c r="H9" s="234"/>
      <c r="I9" s="234" t="s">
        <v>852</v>
      </c>
      <c r="J9" s="234"/>
      <c r="K9" s="236"/>
      <c r="L9" s="236"/>
      <c r="T9" s="284" t="s">
        <v>284</v>
      </c>
    </row>
    <row r="10" spans="1:21" ht="17.649999999999999">
      <c r="A10" s="234" t="s">
        <v>856</v>
      </c>
      <c r="B10" s="234"/>
      <c r="C10" s="234" t="s">
        <v>61</v>
      </c>
      <c r="D10" s="234" t="s">
        <v>855</v>
      </c>
      <c r="E10" s="234" t="s">
        <v>61</v>
      </c>
      <c r="F10" s="234" t="s">
        <v>826</v>
      </c>
      <c r="G10" s="234" t="s">
        <v>61</v>
      </c>
      <c r="H10" s="234"/>
      <c r="I10" s="234" t="s">
        <v>852</v>
      </c>
      <c r="J10" s="234"/>
      <c r="K10" s="236"/>
      <c r="L10" s="236"/>
      <c r="T10" s="285" t="s">
        <v>857</v>
      </c>
    </row>
    <row r="11" spans="1:21" ht="17.649999999999999">
      <c r="A11" s="234" t="s">
        <v>856</v>
      </c>
      <c r="B11" s="234"/>
      <c r="C11" s="234" t="s">
        <v>61</v>
      </c>
      <c r="D11" s="234" t="s">
        <v>855</v>
      </c>
      <c r="E11" s="234" t="s">
        <v>61</v>
      </c>
      <c r="F11" s="234" t="s">
        <v>826</v>
      </c>
      <c r="G11" s="234" t="s">
        <v>61</v>
      </c>
      <c r="H11" s="234"/>
      <c r="I11" s="234" t="s">
        <v>852</v>
      </c>
      <c r="J11" s="234"/>
      <c r="K11" s="236"/>
      <c r="L11" s="236"/>
    </row>
    <row r="12" spans="1:21" ht="17.649999999999999">
      <c r="A12" s="234" t="s">
        <v>856</v>
      </c>
      <c r="B12" s="234"/>
      <c r="C12" s="234" t="s">
        <v>61</v>
      </c>
      <c r="D12" s="234" t="s">
        <v>855</v>
      </c>
      <c r="E12" s="234" t="s">
        <v>61</v>
      </c>
      <c r="F12" s="234" t="s">
        <v>826</v>
      </c>
      <c r="G12" s="234" t="s">
        <v>61</v>
      </c>
      <c r="H12" s="234"/>
      <c r="I12" s="234" t="s">
        <v>852</v>
      </c>
      <c r="J12" s="234"/>
      <c r="K12" s="236"/>
      <c r="L12" s="236"/>
    </row>
    <row r="13" spans="1:21" ht="17.649999999999999">
      <c r="A13" s="234" t="s">
        <v>856</v>
      </c>
      <c r="B13" s="234"/>
      <c r="C13" s="234" t="s">
        <v>61</v>
      </c>
      <c r="D13" s="234" t="s">
        <v>855</v>
      </c>
      <c r="E13" s="234" t="s">
        <v>61</v>
      </c>
      <c r="F13" s="234" t="s">
        <v>826</v>
      </c>
      <c r="G13" s="234" t="s">
        <v>61</v>
      </c>
      <c r="H13" s="234"/>
      <c r="I13" s="234" t="s">
        <v>852</v>
      </c>
      <c r="J13" s="234"/>
      <c r="K13" s="236"/>
      <c r="L13" s="236"/>
      <c r="T13" s="40"/>
    </row>
    <row r="14" spans="1:21" ht="17.649999999999999">
      <c r="A14" s="234" t="s">
        <v>856</v>
      </c>
      <c r="B14" s="234"/>
      <c r="C14" s="234" t="s">
        <v>61</v>
      </c>
      <c r="D14" s="234" t="s">
        <v>855</v>
      </c>
      <c r="E14" s="234" t="s">
        <v>61</v>
      </c>
      <c r="F14" s="234" t="s">
        <v>826</v>
      </c>
      <c r="G14" s="234" t="s">
        <v>61</v>
      </c>
      <c r="H14" s="234"/>
      <c r="I14" s="234" t="s">
        <v>852</v>
      </c>
      <c r="J14" s="234"/>
      <c r="K14" s="236"/>
      <c r="L14" s="236"/>
      <c r="T14" s="40"/>
    </row>
    <row r="15" spans="1:21" ht="17.649999999999999">
      <c r="A15" s="234" t="s">
        <v>856</v>
      </c>
      <c r="B15" s="234"/>
      <c r="C15" s="234" t="s">
        <v>61</v>
      </c>
      <c r="D15" s="234" t="s">
        <v>855</v>
      </c>
      <c r="E15" s="234" t="s">
        <v>61</v>
      </c>
      <c r="F15" s="234" t="s">
        <v>826</v>
      </c>
      <c r="G15" s="234" t="s">
        <v>61</v>
      </c>
      <c r="H15" s="234"/>
      <c r="I15" s="234" t="s">
        <v>852</v>
      </c>
      <c r="J15" s="234"/>
      <c r="K15" s="236"/>
      <c r="L15" s="236"/>
      <c r="T15" s="40"/>
    </row>
    <row r="16" spans="1:21" ht="17.649999999999999">
      <c r="A16" s="234" t="s">
        <v>856</v>
      </c>
      <c r="B16" s="234"/>
      <c r="C16" s="234" t="s">
        <v>61</v>
      </c>
      <c r="D16" s="234" t="s">
        <v>855</v>
      </c>
      <c r="E16" s="234" t="s">
        <v>61</v>
      </c>
      <c r="F16" s="234" t="s">
        <v>826</v>
      </c>
      <c r="G16" s="234" t="s">
        <v>61</v>
      </c>
      <c r="H16" s="234"/>
      <c r="I16" s="234" t="s">
        <v>852</v>
      </c>
      <c r="J16" s="234"/>
      <c r="K16" s="236"/>
      <c r="L16" s="236"/>
      <c r="T16" s="40"/>
    </row>
    <row r="17" spans="1:20" ht="17.649999999999999">
      <c r="A17" s="234" t="s">
        <v>856</v>
      </c>
      <c r="B17" s="234"/>
      <c r="C17" s="234" t="s">
        <v>61</v>
      </c>
      <c r="D17" s="234" t="s">
        <v>855</v>
      </c>
      <c r="E17" s="234" t="s">
        <v>61</v>
      </c>
      <c r="F17" s="234" t="s">
        <v>826</v>
      </c>
      <c r="G17" s="234" t="s">
        <v>61</v>
      </c>
      <c r="H17" s="234"/>
      <c r="I17" s="234" t="s">
        <v>852</v>
      </c>
      <c r="J17" s="234"/>
      <c r="K17" s="236"/>
      <c r="L17" s="236"/>
      <c r="T17" s="40"/>
    </row>
    <row r="18" spans="1:20" ht="17.649999999999999">
      <c r="A18" s="234" t="s">
        <v>856</v>
      </c>
      <c r="B18" s="234"/>
      <c r="C18" s="234" t="s">
        <v>61</v>
      </c>
      <c r="D18" s="234" t="s">
        <v>855</v>
      </c>
      <c r="E18" s="234" t="s">
        <v>61</v>
      </c>
      <c r="F18" s="234" t="s">
        <v>826</v>
      </c>
      <c r="G18" s="234" t="s">
        <v>61</v>
      </c>
      <c r="H18" s="234"/>
      <c r="I18" s="234" t="s">
        <v>852</v>
      </c>
      <c r="J18" s="234"/>
      <c r="K18" s="236"/>
      <c r="L18" s="236"/>
    </row>
    <row r="19" spans="1:20" ht="17.649999999999999">
      <c r="A19" s="234" t="s">
        <v>856</v>
      </c>
      <c r="B19" s="234"/>
      <c r="C19" s="234" t="s">
        <v>61</v>
      </c>
      <c r="D19" s="234" t="s">
        <v>855</v>
      </c>
      <c r="E19" s="234" t="s">
        <v>61</v>
      </c>
      <c r="F19" s="234" t="s">
        <v>826</v>
      </c>
      <c r="G19" s="234" t="s">
        <v>61</v>
      </c>
      <c r="H19" s="234"/>
      <c r="I19" s="234" t="s">
        <v>852</v>
      </c>
      <c r="J19" s="234"/>
      <c r="K19" s="236"/>
      <c r="L19" s="236"/>
    </row>
    <row r="20" spans="1:20" ht="17.649999999999999">
      <c r="A20" s="234" t="s">
        <v>856</v>
      </c>
      <c r="B20" s="234"/>
      <c r="C20" s="234" t="s">
        <v>61</v>
      </c>
      <c r="D20" s="234" t="s">
        <v>855</v>
      </c>
      <c r="E20" s="234" t="s">
        <v>61</v>
      </c>
      <c r="F20" s="234" t="s">
        <v>826</v>
      </c>
      <c r="G20" s="234" t="s">
        <v>61</v>
      </c>
      <c r="H20" s="234"/>
      <c r="I20" s="234" t="s">
        <v>852</v>
      </c>
      <c r="J20" s="234"/>
      <c r="K20" s="236"/>
      <c r="L20" s="236"/>
    </row>
    <row r="21" spans="1:20" ht="17.649999999999999">
      <c r="A21" s="234" t="s">
        <v>856</v>
      </c>
      <c r="B21" s="234"/>
      <c r="C21" s="234" t="s">
        <v>61</v>
      </c>
      <c r="D21" s="234" t="s">
        <v>855</v>
      </c>
      <c r="E21" s="234" t="s">
        <v>61</v>
      </c>
      <c r="F21" s="234" t="s">
        <v>826</v>
      </c>
      <c r="G21" s="234" t="s">
        <v>61</v>
      </c>
      <c r="H21" s="234"/>
      <c r="I21" s="234" t="s">
        <v>852</v>
      </c>
      <c r="J21" s="234"/>
      <c r="K21" s="236"/>
      <c r="L21" s="236"/>
    </row>
    <row r="22" spans="1:20" ht="17.649999999999999">
      <c r="A22" s="234" t="s">
        <v>856</v>
      </c>
      <c r="B22" s="234"/>
      <c r="C22" s="234" t="s">
        <v>61</v>
      </c>
      <c r="D22" s="234" t="s">
        <v>855</v>
      </c>
      <c r="E22" s="234" t="s">
        <v>61</v>
      </c>
      <c r="F22" s="234" t="s">
        <v>826</v>
      </c>
      <c r="G22" s="234" t="s">
        <v>61</v>
      </c>
      <c r="H22" s="234"/>
      <c r="I22" s="234" t="s">
        <v>852</v>
      </c>
      <c r="J22" s="234"/>
      <c r="K22" s="236"/>
      <c r="L22" s="236"/>
    </row>
    <row r="23" spans="1:20" ht="17.649999999999999">
      <c r="A23" s="234" t="s">
        <v>856</v>
      </c>
      <c r="B23" s="234"/>
      <c r="C23" s="234" t="s">
        <v>61</v>
      </c>
      <c r="D23" s="234" t="s">
        <v>855</v>
      </c>
      <c r="E23" s="234" t="s">
        <v>61</v>
      </c>
      <c r="F23" s="234" t="s">
        <v>826</v>
      </c>
      <c r="G23" s="234" t="s">
        <v>61</v>
      </c>
      <c r="H23" s="234"/>
      <c r="I23" s="234" t="s">
        <v>852</v>
      </c>
      <c r="J23" s="234"/>
      <c r="K23" s="236"/>
      <c r="L23" s="236"/>
    </row>
    <row r="24" spans="1:20" ht="17.649999999999999">
      <c r="A24" s="234" t="s">
        <v>856</v>
      </c>
      <c r="B24" s="234"/>
      <c r="C24" s="234" t="s">
        <v>61</v>
      </c>
      <c r="D24" s="234" t="s">
        <v>855</v>
      </c>
      <c r="E24" s="234" t="s">
        <v>61</v>
      </c>
      <c r="F24" s="234" t="s">
        <v>826</v>
      </c>
      <c r="G24" s="234" t="s">
        <v>61</v>
      </c>
      <c r="H24" s="234"/>
      <c r="I24" s="234" t="s">
        <v>852</v>
      </c>
      <c r="J24" s="234"/>
      <c r="K24" s="236"/>
      <c r="L24" s="236"/>
    </row>
    <row r="25" spans="1:20" ht="17.649999999999999">
      <c r="A25" s="234" t="s">
        <v>856</v>
      </c>
      <c r="B25" s="234"/>
      <c r="C25" s="234" t="s">
        <v>61</v>
      </c>
      <c r="D25" s="234" t="s">
        <v>855</v>
      </c>
      <c r="E25" s="234" t="s">
        <v>61</v>
      </c>
      <c r="F25" s="234" t="s">
        <v>826</v>
      </c>
      <c r="G25" s="234" t="s">
        <v>61</v>
      </c>
      <c r="H25" s="234"/>
      <c r="I25" s="234" t="s">
        <v>852</v>
      </c>
      <c r="J25" s="234"/>
      <c r="K25" s="236"/>
      <c r="L25" s="236"/>
    </row>
    <row r="26" spans="1:20" ht="17.649999999999999">
      <c r="A26" s="234" t="s">
        <v>856</v>
      </c>
      <c r="B26" s="234"/>
      <c r="C26" s="234" t="s">
        <v>61</v>
      </c>
      <c r="D26" s="234" t="s">
        <v>855</v>
      </c>
      <c r="E26" s="234" t="s">
        <v>61</v>
      </c>
      <c r="F26" s="234" t="s">
        <v>826</v>
      </c>
      <c r="G26" s="234" t="s">
        <v>61</v>
      </c>
      <c r="H26" s="234"/>
      <c r="I26" s="234" t="s">
        <v>852</v>
      </c>
      <c r="J26" s="234"/>
      <c r="K26" s="236"/>
      <c r="L26" s="236"/>
    </row>
    <row r="27" spans="1:20" ht="17.649999999999999">
      <c r="A27" s="234" t="s">
        <v>856</v>
      </c>
      <c r="B27" s="234"/>
      <c r="C27" s="234" t="s">
        <v>61</v>
      </c>
      <c r="D27" s="234" t="s">
        <v>855</v>
      </c>
      <c r="E27" s="234" t="s">
        <v>61</v>
      </c>
      <c r="F27" s="234" t="s">
        <v>826</v>
      </c>
      <c r="G27" s="234" t="s">
        <v>61</v>
      </c>
      <c r="H27" s="234"/>
      <c r="I27" s="234" t="s">
        <v>852</v>
      </c>
      <c r="J27" s="234"/>
      <c r="K27" s="236"/>
      <c r="L27" s="236"/>
    </row>
    <row r="28" spans="1:20" ht="17.649999999999999">
      <c r="A28" s="234" t="s">
        <v>856</v>
      </c>
      <c r="B28" s="234"/>
      <c r="C28" s="234" t="s">
        <v>61</v>
      </c>
      <c r="D28" s="234" t="s">
        <v>855</v>
      </c>
      <c r="E28" s="234" t="s">
        <v>61</v>
      </c>
      <c r="F28" s="234" t="s">
        <v>826</v>
      </c>
      <c r="G28" s="234" t="s">
        <v>61</v>
      </c>
      <c r="H28" s="234"/>
      <c r="I28" s="234" t="s">
        <v>852</v>
      </c>
      <c r="J28" s="234"/>
      <c r="K28" s="236"/>
      <c r="L28" s="236"/>
    </row>
    <row r="29" spans="1:20" ht="17.649999999999999">
      <c r="A29" s="234" t="s">
        <v>856</v>
      </c>
      <c r="B29" s="234"/>
      <c r="C29" s="234" t="s">
        <v>61</v>
      </c>
      <c r="D29" s="234" t="s">
        <v>855</v>
      </c>
      <c r="E29" s="234" t="s">
        <v>61</v>
      </c>
      <c r="F29" s="234" t="s">
        <v>826</v>
      </c>
      <c r="G29" s="234" t="s">
        <v>61</v>
      </c>
      <c r="H29" s="234"/>
      <c r="I29" s="234" t="s">
        <v>852</v>
      </c>
      <c r="J29" s="234"/>
      <c r="K29" s="236"/>
      <c r="L29" s="236"/>
    </row>
    <row r="30" spans="1:20" ht="17.649999999999999">
      <c r="A30" s="234" t="s">
        <v>856</v>
      </c>
      <c r="B30" s="234"/>
      <c r="C30" s="234" t="s">
        <v>61</v>
      </c>
      <c r="D30" s="234" t="s">
        <v>855</v>
      </c>
      <c r="E30" s="234" t="s">
        <v>61</v>
      </c>
      <c r="F30" s="234" t="s">
        <v>826</v>
      </c>
      <c r="G30" s="234" t="s">
        <v>61</v>
      </c>
      <c r="H30" s="234"/>
      <c r="I30" s="234" t="s">
        <v>852</v>
      </c>
      <c r="J30" s="234"/>
      <c r="K30" s="236"/>
      <c r="L30" s="236"/>
    </row>
    <row r="31" spans="1:20" ht="17.649999999999999">
      <c r="A31" s="234" t="s">
        <v>856</v>
      </c>
      <c r="B31" s="234"/>
      <c r="C31" s="234" t="s">
        <v>61</v>
      </c>
      <c r="D31" s="234" t="s">
        <v>855</v>
      </c>
      <c r="E31" s="234" t="s">
        <v>61</v>
      </c>
      <c r="F31" s="234" t="s">
        <v>826</v>
      </c>
      <c r="G31" s="234" t="s">
        <v>61</v>
      </c>
      <c r="H31" s="234"/>
      <c r="I31" s="234" t="s">
        <v>852</v>
      </c>
      <c r="J31" s="234"/>
      <c r="K31" s="236"/>
      <c r="L31" s="236"/>
    </row>
    <row r="32" spans="1:20" ht="17.649999999999999">
      <c r="A32" s="234" t="s">
        <v>856</v>
      </c>
      <c r="B32" s="234"/>
      <c r="C32" s="234" t="s">
        <v>61</v>
      </c>
      <c r="D32" s="234" t="s">
        <v>855</v>
      </c>
      <c r="E32" s="234" t="s">
        <v>61</v>
      </c>
      <c r="F32" s="234" t="s">
        <v>826</v>
      </c>
      <c r="G32" s="234" t="s">
        <v>61</v>
      </c>
      <c r="H32" s="234"/>
      <c r="I32" s="234" t="s">
        <v>852</v>
      </c>
      <c r="J32" s="234"/>
      <c r="K32" s="236"/>
      <c r="L32" s="236"/>
    </row>
    <row r="33" spans="1:12" ht="17.649999999999999">
      <c r="A33" s="234" t="s">
        <v>856</v>
      </c>
      <c r="B33" s="234"/>
      <c r="C33" s="234" t="s">
        <v>61</v>
      </c>
      <c r="D33" s="234" t="s">
        <v>855</v>
      </c>
      <c r="E33" s="234" t="s">
        <v>61</v>
      </c>
      <c r="F33" s="234" t="s">
        <v>826</v>
      </c>
      <c r="G33" s="234" t="s">
        <v>61</v>
      </c>
      <c r="H33" s="234"/>
      <c r="I33" s="234" t="s">
        <v>852</v>
      </c>
      <c r="J33" s="234"/>
      <c r="K33" s="236"/>
      <c r="L33" s="236"/>
    </row>
    <row r="34" spans="1:12" ht="17.649999999999999">
      <c r="A34" s="234" t="s">
        <v>856</v>
      </c>
      <c r="B34" s="234"/>
      <c r="C34" s="234" t="s">
        <v>61</v>
      </c>
      <c r="D34" s="234" t="s">
        <v>855</v>
      </c>
      <c r="E34" s="234" t="s">
        <v>61</v>
      </c>
      <c r="F34" s="234" t="s">
        <v>826</v>
      </c>
      <c r="G34" s="234" t="s">
        <v>61</v>
      </c>
      <c r="H34" s="234"/>
      <c r="I34" s="234" t="s">
        <v>852</v>
      </c>
      <c r="J34" s="234"/>
      <c r="K34" s="236"/>
      <c r="L34" s="236"/>
    </row>
    <row r="35" spans="1:12" ht="17.649999999999999">
      <c r="A35" s="234" t="s">
        <v>856</v>
      </c>
      <c r="B35" s="234"/>
      <c r="C35" s="234" t="s">
        <v>61</v>
      </c>
      <c r="D35" s="234" t="s">
        <v>855</v>
      </c>
      <c r="E35" s="234" t="s">
        <v>61</v>
      </c>
      <c r="F35" s="234" t="s">
        <v>826</v>
      </c>
      <c r="G35" s="234" t="s">
        <v>61</v>
      </c>
      <c r="H35" s="234"/>
      <c r="I35" s="234" t="s">
        <v>852</v>
      </c>
      <c r="J35" s="234"/>
      <c r="K35" s="236"/>
      <c r="L35" s="236"/>
    </row>
    <row r="36" spans="1:12" ht="17.649999999999999">
      <c r="A36" s="234" t="s">
        <v>856</v>
      </c>
      <c r="B36" s="234"/>
      <c r="C36" s="234" t="s">
        <v>61</v>
      </c>
      <c r="D36" s="234" t="s">
        <v>855</v>
      </c>
      <c r="E36" s="234" t="s">
        <v>61</v>
      </c>
      <c r="F36" s="234" t="s">
        <v>826</v>
      </c>
      <c r="G36" s="234" t="s">
        <v>61</v>
      </c>
      <c r="H36" s="234"/>
      <c r="I36" s="234" t="s">
        <v>852</v>
      </c>
      <c r="J36" s="234"/>
      <c r="K36" s="236"/>
      <c r="L36" s="236"/>
    </row>
    <row r="37" spans="1:12" ht="17.649999999999999">
      <c r="A37" s="234" t="s">
        <v>856</v>
      </c>
      <c r="B37" s="234"/>
      <c r="C37" s="234" t="s">
        <v>61</v>
      </c>
      <c r="D37" s="234" t="s">
        <v>855</v>
      </c>
      <c r="E37" s="234" t="s">
        <v>61</v>
      </c>
      <c r="F37" s="234" t="s">
        <v>826</v>
      </c>
      <c r="G37" s="234" t="s">
        <v>61</v>
      </c>
      <c r="H37" s="234"/>
      <c r="I37" s="234" t="s">
        <v>852</v>
      </c>
      <c r="J37" s="234"/>
      <c r="K37" s="236"/>
      <c r="L37" s="236"/>
    </row>
    <row r="38" spans="1:12" ht="17.649999999999999">
      <c r="A38" s="234" t="s">
        <v>856</v>
      </c>
      <c r="B38" s="234"/>
      <c r="C38" s="234" t="s">
        <v>61</v>
      </c>
      <c r="D38" s="234" t="s">
        <v>855</v>
      </c>
      <c r="E38" s="234" t="s">
        <v>61</v>
      </c>
      <c r="F38" s="234" t="s">
        <v>826</v>
      </c>
      <c r="G38" s="234" t="s">
        <v>61</v>
      </c>
      <c r="H38" s="234"/>
      <c r="I38" s="234" t="s">
        <v>852</v>
      </c>
      <c r="J38" s="234"/>
      <c r="K38" s="236"/>
      <c r="L38" s="236"/>
    </row>
    <row r="39" spans="1:12" ht="17.649999999999999">
      <c r="A39" s="234" t="s">
        <v>856</v>
      </c>
      <c r="B39" s="234"/>
      <c r="C39" s="234" t="s">
        <v>61</v>
      </c>
      <c r="D39" s="234" t="s">
        <v>855</v>
      </c>
      <c r="E39" s="234" t="s">
        <v>61</v>
      </c>
      <c r="F39" s="234" t="s">
        <v>826</v>
      </c>
      <c r="G39" s="234" t="s">
        <v>61</v>
      </c>
      <c r="H39" s="234"/>
      <c r="I39" s="234" t="s">
        <v>852</v>
      </c>
      <c r="J39" s="234"/>
      <c r="K39" s="236"/>
      <c r="L39" s="236"/>
    </row>
    <row r="40" spans="1:12" ht="17.649999999999999">
      <c r="A40" s="234" t="s">
        <v>856</v>
      </c>
      <c r="B40" s="234"/>
      <c r="C40" s="234" t="s">
        <v>61</v>
      </c>
      <c r="D40" s="234" t="s">
        <v>855</v>
      </c>
      <c r="E40" s="234" t="s">
        <v>61</v>
      </c>
      <c r="F40" s="234" t="s">
        <v>826</v>
      </c>
      <c r="G40" s="234" t="s">
        <v>61</v>
      </c>
      <c r="H40" s="234"/>
      <c r="I40" s="234" t="s">
        <v>852</v>
      </c>
      <c r="J40" s="234"/>
      <c r="K40" s="236"/>
      <c r="L40" s="236"/>
    </row>
    <row r="41" spans="1:12" ht="17.649999999999999">
      <c r="A41" s="234" t="s">
        <v>856</v>
      </c>
      <c r="B41" s="234"/>
      <c r="C41" s="234" t="s">
        <v>61</v>
      </c>
      <c r="D41" s="234" t="s">
        <v>855</v>
      </c>
      <c r="E41" s="234" t="s">
        <v>61</v>
      </c>
      <c r="F41" s="234" t="s">
        <v>826</v>
      </c>
      <c r="G41" s="234" t="s">
        <v>61</v>
      </c>
      <c r="H41" s="234"/>
      <c r="I41" s="234" t="s">
        <v>852</v>
      </c>
      <c r="J41" s="234"/>
      <c r="K41" s="236"/>
      <c r="L41" s="236"/>
    </row>
    <row r="42" spans="1:12" ht="17.649999999999999">
      <c r="A42" s="234" t="s">
        <v>856</v>
      </c>
      <c r="B42" s="234"/>
      <c r="C42" s="234" t="s">
        <v>61</v>
      </c>
      <c r="D42" s="234" t="s">
        <v>855</v>
      </c>
      <c r="E42" s="234" t="s">
        <v>61</v>
      </c>
      <c r="F42" s="234" t="s">
        <v>826</v>
      </c>
      <c r="G42" s="234" t="s">
        <v>61</v>
      </c>
      <c r="H42" s="234"/>
      <c r="I42" s="234" t="s">
        <v>852</v>
      </c>
      <c r="J42" s="234"/>
      <c r="K42" s="236"/>
      <c r="L42" s="236"/>
    </row>
    <row r="43" spans="1:12" ht="17.649999999999999">
      <c r="A43" s="234" t="s">
        <v>856</v>
      </c>
      <c r="B43" s="234"/>
      <c r="C43" s="234" t="s">
        <v>61</v>
      </c>
      <c r="D43" s="234" t="s">
        <v>855</v>
      </c>
      <c r="E43" s="234" t="s">
        <v>61</v>
      </c>
      <c r="F43" s="234" t="s">
        <v>826</v>
      </c>
      <c r="G43" s="234" t="s">
        <v>61</v>
      </c>
      <c r="H43" s="234"/>
      <c r="I43" s="234" t="s">
        <v>852</v>
      </c>
      <c r="J43" s="234"/>
      <c r="K43" s="236"/>
      <c r="L43" s="236"/>
    </row>
    <row r="44" spans="1:12" ht="17.649999999999999">
      <c r="A44" s="234" t="s">
        <v>856</v>
      </c>
      <c r="B44" s="234"/>
      <c r="C44" s="234" t="s">
        <v>61</v>
      </c>
      <c r="D44" s="234" t="s">
        <v>855</v>
      </c>
      <c r="E44" s="234" t="s">
        <v>61</v>
      </c>
      <c r="F44" s="234" t="s">
        <v>826</v>
      </c>
      <c r="G44" s="234" t="s">
        <v>61</v>
      </c>
      <c r="H44" s="234"/>
      <c r="I44" s="234" t="s">
        <v>852</v>
      </c>
      <c r="J44" s="234"/>
      <c r="K44" s="236"/>
      <c r="L44" s="236"/>
    </row>
    <row r="45" spans="1:12" ht="17.649999999999999">
      <c r="A45" s="234" t="s">
        <v>856</v>
      </c>
      <c r="B45" s="234"/>
      <c r="C45" s="234" t="s">
        <v>61</v>
      </c>
      <c r="D45" s="234" t="s">
        <v>855</v>
      </c>
      <c r="E45" s="234" t="s">
        <v>61</v>
      </c>
      <c r="F45" s="234" t="s">
        <v>826</v>
      </c>
      <c r="G45" s="234" t="s">
        <v>61</v>
      </c>
      <c r="H45" s="234"/>
      <c r="I45" s="234" t="s">
        <v>852</v>
      </c>
      <c r="J45" s="234"/>
      <c r="K45" s="236"/>
      <c r="L45" s="236"/>
    </row>
    <row r="46" spans="1:12" ht="17.649999999999999">
      <c r="A46" s="234" t="s">
        <v>856</v>
      </c>
      <c r="B46" s="234"/>
      <c r="C46" s="234" t="s">
        <v>61</v>
      </c>
      <c r="D46" s="234" t="s">
        <v>855</v>
      </c>
      <c r="E46" s="234" t="s">
        <v>61</v>
      </c>
      <c r="F46" s="234" t="s">
        <v>826</v>
      </c>
      <c r="G46" s="234" t="s">
        <v>61</v>
      </c>
      <c r="H46" s="234"/>
      <c r="I46" s="234" t="s">
        <v>852</v>
      </c>
      <c r="J46" s="234"/>
      <c r="K46" s="236"/>
      <c r="L46" s="236"/>
    </row>
    <row r="47" spans="1:12" ht="17.649999999999999">
      <c r="A47" s="234" t="s">
        <v>856</v>
      </c>
      <c r="B47" s="234"/>
      <c r="C47" s="234" t="s">
        <v>61</v>
      </c>
      <c r="D47" s="234" t="s">
        <v>855</v>
      </c>
      <c r="E47" s="234" t="s">
        <v>61</v>
      </c>
      <c r="F47" s="234" t="s">
        <v>826</v>
      </c>
      <c r="G47" s="234" t="s">
        <v>61</v>
      </c>
      <c r="H47" s="234"/>
      <c r="I47" s="234" t="s">
        <v>852</v>
      </c>
      <c r="J47" s="234"/>
      <c r="K47" s="236"/>
      <c r="L47" s="236"/>
    </row>
    <row r="48" spans="1:12" ht="17.649999999999999">
      <c r="A48" s="234" t="s">
        <v>856</v>
      </c>
      <c r="B48" s="234"/>
      <c r="C48" s="234" t="s">
        <v>61</v>
      </c>
      <c r="D48" s="234" t="s">
        <v>855</v>
      </c>
      <c r="E48" s="234" t="s">
        <v>61</v>
      </c>
      <c r="F48" s="234" t="s">
        <v>826</v>
      </c>
      <c r="G48" s="234" t="s">
        <v>61</v>
      </c>
      <c r="H48" s="234"/>
      <c r="I48" s="234" t="s">
        <v>852</v>
      </c>
      <c r="J48" s="234"/>
      <c r="K48" s="236"/>
      <c r="L48" s="236"/>
    </row>
    <row r="49" spans="1:20" ht="17.649999999999999">
      <c r="A49" s="234" t="s">
        <v>856</v>
      </c>
      <c r="B49" s="234"/>
      <c r="C49" s="234" t="s">
        <v>61</v>
      </c>
      <c r="D49" s="234" t="s">
        <v>855</v>
      </c>
      <c r="E49" s="234" t="s">
        <v>61</v>
      </c>
      <c r="F49" s="234" t="s">
        <v>826</v>
      </c>
      <c r="G49" s="234" t="s">
        <v>61</v>
      </c>
      <c r="H49" s="234"/>
      <c r="I49" s="234" t="s">
        <v>852</v>
      </c>
      <c r="J49" s="234"/>
      <c r="K49" s="236"/>
      <c r="L49" s="236"/>
    </row>
    <row r="50" spans="1:20" ht="17.649999999999999">
      <c r="A50" s="234" t="s">
        <v>856</v>
      </c>
      <c r="B50" s="234"/>
      <c r="C50" s="234" t="s">
        <v>61</v>
      </c>
      <c r="D50" s="234" t="s">
        <v>855</v>
      </c>
      <c r="E50" s="234" t="s">
        <v>61</v>
      </c>
      <c r="F50" s="234" t="s">
        <v>826</v>
      </c>
      <c r="G50" s="234" t="s">
        <v>61</v>
      </c>
      <c r="H50" s="234"/>
      <c r="I50" s="234" t="s">
        <v>852</v>
      </c>
      <c r="J50" s="234"/>
      <c r="K50" s="236"/>
      <c r="L50" s="236"/>
    </row>
    <row r="51" spans="1:20" ht="17.649999999999999">
      <c r="A51" s="234" t="s">
        <v>856</v>
      </c>
      <c r="B51" s="234"/>
      <c r="C51" s="234" t="s">
        <v>61</v>
      </c>
      <c r="D51" s="234" t="s">
        <v>855</v>
      </c>
      <c r="E51" s="234" t="s">
        <v>61</v>
      </c>
      <c r="F51" s="234" t="s">
        <v>826</v>
      </c>
      <c r="G51" s="234" t="s">
        <v>61</v>
      </c>
      <c r="H51" s="234"/>
      <c r="I51" s="234" t="s">
        <v>852</v>
      </c>
      <c r="J51" s="234"/>
      <c r="K51" s="236"/>
      <c r="L51" s="236"/>
    </row>
    <row r="52" spans="1:20" ht="17.25" customHeight="1">
      <c r="A52" s="234" t="s">
        <v>856</v>
      </c>
      <c r="B52" s="234"/>
      <c r="C52" s="234" t="s">
        <v>61</v>
      </c>
      <c r="D52" s="234" t="s">
        <v>855</v>
      </c>
      <c r="E52" s="234" t="s">
        <v>61</v>
      </c>
      <c r="F52" s="234" t="s">
        <v>826</v>
      </c>
      <c r="G52" s="234" t="s">
        <v>61</v>
      </c>
      <c r="H52" s="234"/>
      <c r="I52" s="234" t="s">
        <v>852</v>
      </c>
      <c r="J52" s="234"/>
      <c r="K52" s="236"/>
      <c r="L52" s="236"/>
      <c r="S52" s="1" t="s">
        <v>34</v>
      </c>
      <c r="T52" s="437"/>
    </row>
    <row r="53" spans="1:20" ht="17.25" customHeight="1">
      <c r="A53" s="234" t="s">
        <v>856</v>
      </c>
      <c r="B53" s="234"/>
      <c r="C53" s="234" t="s">
        <v>61</v>
      </c>
      <c r="D53" s="234" t="s">
        <v>855</v>
      </c>
      <c r="E53" s="234" t="s">
        <v>61</v>
      </c>
      <c r="F53" s="234" t="s">
        <v>826</v>
      </c>
      <c r="G53" s="234" t="s">
        <v>61</v>
      </c>
      <c r="H53" s="234"/>
      <c r="I53" s="234" t="s">
        <v>852</v>
      </c>
      <c r="J53" s="234"/>
      <c r="K53" s="236"/>
      <c r="L53" s="236"/>
      <c r="T53" s="437"/>
    </row>
    <row r="54" spans="1:20" ht="17.649999999999999">
      <c r="A54" s="234" t="s">
        <v>856</v>
      </c>
      <c r="B54" s="234"/>
      <c r="C54" s="234" t="s">
        <v>61</v>
      </c>
      <c r="D54" s="234" t="s">
        <v>855</v>
      </c>
      <c r="E54" s="234" t="s">
        <v>61</v>
      </c>
      <c r="F54" s="234" t="s">
        <v>826</v>
      </c>
      <c r="G54" s="234" t="s">
        <v>61</v>
      </c>
      <c r="H54" s="234"/>
      <c r="I54" s="234" t="s">
        <v>852</v>
      </c>
      <c r="J54" s="234"/>
      <c r="K54" s="236"/>
      <c r="L54" s="236"/>
    </row>
    <row r="55" spans="1:20" ht="17.649999999999999">
      <c r="A55" s="234" t="s">
        <v>856</v>
      </c>
      <c r="B55" s="234"/>
      <c r="C55" s="234" t="s">
        <v>61</v>
      </c>
      <c r="D55" s="234" t="s">
        <v>855</v>
      </c>
      <c r="E55" s="234" t="s">
        <v>61</v>
      </c>
      <c r="F55" s="234" t="s">
        <v>826</v>
      </c>
      <c r="G55" s="234" t="s">
        <v>61</v>
      </c>
      <c r="H55" s="234"/>
      <c r="I55" s="234" t="s">
        <v>852</v>
      </c>
      <c r="J55" s="234"/>
      <c r="K55" s="236"/>
      <c r="L55" s="236"/>
    </row>
    <row r="56" spans="1:20" ht="17.649999999999999">
      <c r="A56" s="234" t="s">
        <v>856</v>
      </c>
      <c r="B56" s="234"/>
      <c r="C56" s="234" t="s">
        <v>61</v>
      </c>
      <c r="D56" s="234" t="s">
        <v>855</v>
      </c>
      <c r="E56" s="234" t="s">
        <v>61</v>
      </c>
      <c r="F56" s="234" t="s">
        <v>826</v>
      </c>
      <c r="G56" s="234" t="s">
        <v>61</v>
      </c>
      <c r="H56" s="234"/>
      <c r="I56" s="234" t="s">
        <v>852</v>
      </c>
      <c r="J56" s="234"/>
      <c r="K56" s="236"/>
      <c r="L56" s="236"/>
    </row>
    <row r="57" spans="1:20" ht="17.649999999999999">
      <c r="A57" s="234" t="s">
        <v>856</v>
      </c>
      <c r="B57" s="234"/>
      <c r="C57" s="234" t="s">
        <v>61</v>
      </c>
      <c r="D57" s="234" t="s">
        <v>855</v>
      </c>
      <c r="E57" s="234" t="s">
        <v>61</v>
      </c>
      <c r="F57" s="234" t="s">
        <v>826</v>
      </c>
      <c r="G57" s="234" t="s">
        <v>61</v>
      </c>
      <c r="H57" s="234"/>
      <c r="I57" s="234" t="s">
        <v>852</v>
      </c>
      <c r="J57" s="234"/>
      <c r="K57" s="236"/>
      <c r="L57" s="236"/>
    </row>
    <row r="58" spans="1:20" ht="17.649999999999999">
      <c r="A58" s="234" t="s">
        <v>856</v>
      </c>
      <c r="B58" s="234"/>
      <c r="C58" s="234" t="s">
        <v>61</v>
      </c>
      <c r="D58" s="234" t="s">
        <v>855</v>
      </c>
      <c r="E58" s="234" t="s">
        <v>61</v>
      </c>
      <c r="F58" s="234" t="s">
        <v>826</v>
      </c>
      <c r="G58" s="234" t="s">
        <v>61</v>
      </c>
      <c r="H58" s="234"/>
      <c r="I58" s="234" t="s">
        <v>852</v>
      </c>
      <c r="J58" s="234"/>
      <c r="K58" s="236"/>
      <c r="L58" s="236"/>
    </row>
    <row r="59" spans="1:20" ht="17.649999999999999">
      <c r="A59" s="234" t="s">
        <v>856</v>
      </c>
      <c r="B59" s="234"/>
      <c r="C59" s="234" t="s">
        <v>61</v>
      </c>
      <c r="D59" s="234" t="s">
        <v>855</v>
      </c>
      <c r="E59" s="234" t="s">
        <v>61</v>
      </c>
      <c r="F59" s="234" t="s">
        <v>826</v>
      </c>
      <c r="G59" s="234" t="s">
        <v>61</v>
      </c>
      <c r="H59" s="234"/>
      <c r="I59" s="234" t="s">
        <v>852</v>
      </c>
      <c r="J59" s="234"/>
      <c r="K59" s="236"/>
      <c r="L59" s="236"/>
    </row>
    <row r="60" spans="1:20" ht="17.649999999999999">
      <c r="A60" s="234" t="s">
        <v>856</v>
      </c>
      <c r="B60" s="234"/>
      <c r="C60" s="234" t="s">
        <v>61</v>
      </c>
      <c r="D60" s="234" t="s">
        <v>855</v>
      </c>
      <c r="E60" s="234" t="s">
        <v>61</v>
      </c>
      <c r="F60" s="234" t="s">
        <v>826</v>
      </c>
      <c r="G60" s="234" t="s">
        <v>61</v>
      </c>
      <c r="H60" s="234"/>
      <c r="I60" s="234" t="s">
        <v>852</v>
      </c>
      <c r="J60" s="234"/>
      <c r="K60" s="236"/>
      <c r="L60" s="236"/>
    </row>
    <row r="61" spans="1:20" ht="17.649999999999999">
      <c r="A61" s="234" t="s">
        <v>856</v>
      </c>
      <c r="B61" s="234"/>
      <c r="C61" s="234" t="s">
        <v>61</v>
      </c>
      <c r="D61" s="234" t="s">
        <v>855</v>
      </c>
      <c r="E61" s="234" t="s">
        <v>61</v>
      </c>
      <c r="F61" s="234" t="s">
        <v>826</v>
      </c>
      <c r="G61" s="234" t="s">
        <v>61</v>
      </c>
      <c r="H61" s="234"/>
      <c r="I61" s="234" t="s">
        <v>852</v>
      </c>
      <c r="J61" s="234"/>
      <c r="K61" s="236"/>
      <c r="L61" s="236"/>
    </row>
    <row r="62" spans="1:20" ht="17.649999999999999">
      <c r="A62" s="234" t="s">
        <v>856</v>
      </c>
      <c r="B62" s="234"/>
      <c r="C62" s="234" t="s">
        <v>61</v>
      </c>
      <c r="D62" s="234" t="s">
        <v>855</v>
      </c>
      <c r="E62" s="234" t="s">
        <v>61</v>
      </c>
      <c r="F62" s="234" t="s">
        <v>826</v>
      </c>
      <c r="G62" s="234" t="s">
        <v>61</v>
      </c>
      <c r="H62" s="234"/>
      <c r="I62" s="234" t="s">
        <v>852</v>
      </c>
      <c r="J62" s="234"/>
      <c r="K62" s="236"/>
      <c r="L62" s="236"/>
    </row>
    <row r="63" spans="1:20" ht="17.649999999999999">
      <c r="A63" s="234" t="s">
        <v>856</v>
      </c>
      <c r="B63" s="234"/>
      <c r="C63" s="234" t="s">
        <v>61</v>
      </c>
      <c r="D63" s="234" t="s">
        <v>855</v>
      </c>
      <c r="E63" s="234" t="s">
        <v>61</v>
      </c>
      <c r="F63" s="234" t="s">
        <v>826</v>
      </c>
      <c r="G63" s="234" t="s">
        <v>61</v>
      </c>
      <c r="H63" s="234"/>
      <c r="I63" s="234" t="s">
        <v>852</v>
      </c>
      <c r="J63" s="234"/>
      <c r="K63" s="236"/>
      <c r="L63" s="236"/>
    </row>
    <row r="64" spans="1:20" ht="17.649999999999999">
      <c r="A64" s="234" t="s">
        <v>856</v>
      </c>
      <c r="B64" s="234"/>
      <c r="C64" s="234" t="s">
        <v>61</v>
      </c>
      <c r="D64" s="234" t="s">
        <v>855</v>
      </c>
      <c r="E64" s="234" t="s">
        <v>61</v>
      </c>
      <c r="F64" s="234" t="s">
        <v>826</v>
      </c>
      <c r="G64" s="234" t="s">
        <v>61</v>
      </c>
      <c r="H64" s="234"/>
      <c r="I64" s="234" t="s">
        <v>852</v>
      </c>
      <c r="J64" s="234"/>
      <c r="K64" s="236"/>
      <c r="L64" s="236"/>
    </row>
    <row r="65" spans="1:12" ht="17.649999999999999">
      <c r="A65" s="234" t="s">
        <v>856</v>
      </c>
      <c r="B65" s="234"/>
      <c r="C65" s="234" t="s">
        <v>61</v>
      </c>
      <c r="D65" s="234" t="s">
        <v>855</v>
      </c>
      <c r="E65" s="234" t="s">
        <v>61</v>
      </c>
      <c r="F65" s="234" t="s">
        <v>826</v>
      </c>
      <c r="G65" s="234" t="s">
        <v>61</v>
      </c>
      <c r="H65" s="234"/>
      <c r="I65" s="234" t="s">
        <v>852</v>
      </c>
      <c r="J65" s="234"/>
      <c r="K65" s="236"/>
      <c r="L65" s="236"/>
    </row>
    <row r="66" spans="1:12" ht="17.649999999999999">
      <c r="A66" s="234" t="s">
        <v>856</v>
      </c>
      <c r="B66" s="234"/>
      <c r="C66" s="234" t="s">
        <v>61</v>
      </c>
      <c r="D66" s="234" t="s">
        <v>855</v>
      </c>
      <c r="E66" s="234" t="s">
        <v>61</v>
      </c>
      <c r="F66" s="234" t="s">
        <v>826</v>
      </c>
      <c r="G66" s="234" t="s">
        <v>61</v>
      </c>
      <c r="H66" s="234"/>
      <c r="I66" s="234" t="s">
        <v>852</v>
      </c>
      <c r="J66" s="234"/>
      <c r="K66" s="236"/>
      <c r="L66" s="236"/>
    </row>
    <row r="67" spans="1:12" ht="17.649999999999999">
      <c r="A67" s="234" t="s">
        <v>856</v>
      </c>
      <c r="B67" s="234"/>
      <c r="C67" s="234" t="s">
        <v>61</v>
      </c>
      <c r="D67" s="234" t="s">
        <v>855</v>
      </c>
      <c r="E67" s="234" t="s">
        <v>61</v>
      </c>
      <c r="F67" s="234" t="s">
        <v>826</v>
      </c>
      <c r="G67" s="234" t="s">
        <v>61</v>
      </c>
      <c r="H67" s="234"/>
      <c r="I67" s="234" t="s">
        <v>852</v>
      </c>
      <c r="J67" s="234"/>
      <c r="K67" s="236"/>
      <c r="L67" s="236"/>
    </row>
    <row r="68" spans="1:12" ht="17.649999999999999">
      <c r="A68" s="234" t="s">
        <v>856</v>
      </c>
      <c r="B68" s="234"/>
      <c r="C68" s="234" t="s">
        <v>61</v>
      </c>
      <c r="D68" s="234" t="s">
        <v>855</v>
      </c>
      <c r="E68" s="234" t="s">
        <v>61</v>
      </c>
      <c r="F68" s="234" t="s">
        <v>826</v>
      </c>
      <c r="G68" s="234" t="s">
        <v>61</v>
      </c>
      <c r="H68" s="234"/>
      <c r="I68" s="234" t="s">
        <v>852</v>
      </c>
      <c r="J68" s="234"/>
      <c r="K68" s="236"/>
      <c r="L68" s="236"/>
    </row>
    <row r="69" spans="1:12" ht="17.649999999999999">
      <c r="A69" s="234" t="s">
        <v>856</v>
      </c>
      <c r="B69" s="234"/>
      <c r="C69" s="234" t="s">
        <v>61</v>
      </c>
      <c r="D69" s="234" t="s">
        <v>855</v>
      </c>
      <c r="E69" s="234" t="s">
        <v>61</v>
      </c>
      <c r="F69" s="234" t="s">
        <v>826</v>
      </c>
      <c r="G69" s="234" t="s">
        <v>61</v>
      </c>
      <c r="H69" s="234"/>
      <c r="I69" s="234" t="s">
        <v>852</v>
      </c>
      <c r="J69" s="234"/>
      <c r="K69" s="236"/>
      <c r="L69" s="236"/>
    </row>
    <row r="70" spans="1:12" ht="17.649999999999999">
      <c r="A70" s="234" t="s">
        <v>856</v>
      </c>
      <c r="B70" s="234"/>
      <c r="C70" s="234" t="s">
        <v>61</v>
      </c>
      <c r="D70" s="234" t="s">
        <v>855</v>
      </c>
      <c r="E70" s="234" t="s">
        <v>61</v>
      </c>
      <c r="F70" s="234" t="s">
        <v>826</v>
      </c>
      <c r="G70" s="234" t="s">
        <v>61</v>
      </c>
      <c r="H70" s="234"/>
      <c r="I70" s="234" t="s">
        <v>852</v>
      </c>
      <c r="J70" s="234"/>
      <c r="K70" s="236"/>
      <c r="L70" s="236"/>
    </row>
    <row r="71" spans="1:12" ht="17.649999999999999">
      <c r="A71" s="234" t="s">
        <v>856</v>
      </c>
      <c r="B71" s="234"/>
      <c r="C71" s="234" t="s">
        <v>61</v>
      </c>
      <c r="D71" s="234" t="s">
        <v>855</v>
      </c>
      <c r="E71" s="234" t="s">
        <v>61</v>
      </c>
      <c r="F71" s="234" t="s">
        <v>826</v>
      </c>
      <c r="G71" s="234" t="s">
        <v>61</v>
      </c>
      <c r="H71" s="234"/>
      <c r="I71" s="234" t="s">
        <v>852</v>
      </c>
      <c r="J71" s="234"/>
      <c r="K71" s="236"/>
      <c r="L71" s="236"/>
    </row>
    <row r="72" spans="1:12" ht="17.649999999999999">
      <c r="A72" s="234" t="s">
        <v>856</v>
      </c>
      <c r="B72" s="234"/>
      <c r="C72" s="234" t="s">
        <v>61</v>
      </c>
      <c r="D72" s="234" t="s">
        <v>855</v>
      </c>
      <c r="E72" s="234" t="s">
        <v>61</v>
      </c>
      <c r="F72" s="234" t="s">
        <v>826</v>
      </c>
      <c r="G72" s="234" t="s">
        <v>61</v>
      </c>
      <c r="H72" s="234"/>
      <c r="I72" s="234" t="s">
        <v>852</v>
      </c>
      <c r="J72" s="234"/>
      <c r="K72" s="236"/>
      <c r="L72" s="236"/>
    </row>
    <row r="73" spans="1:12" ht="17.649999999999999">
      <c r="A73" s="234" t="s">
        <v>856</v>
      </c>
      <c r="B73" s="234"/>
      <c r="C73" s="234" t="s">
        <v>61</v>
      </c>
      <c r="D73" s="234" t="s">
        <v>855</v>
      </c>
      <c r="E73" s="234" t="s">
        <v>61</v>
      </c>
      <c r="F73" s="234" t="s">
        <v>826</v>
      </c>
      <c r="G73" s="234" t="s">
        <v>61</v>
      </c>
      <c r="H73" s="234"/>
      <c r="I73" s="234" t="s">
        <v>852</v>
      </c>
      <c r="J73" s="234"/>
      <c r="K73" s="236"/>
      <c r="L73" s="236"/>
    </row>
    <row r="74" spans="1:12" ht="17.649999999999999">
      <c r="A74" s="234" t="s">
        <v>856</v>
      </c>
      <c r="B74" s="234"/>
      <c r="C74" s="234" t="s">
        <v>61</v>
      </c>
      <c r="D74" s="234" t="s">
        <v>855</v>
      </c>
      <c r="E74" s="234" t="s">
        <v>61</v>
      </c>
      <c r="F74" s="234" t="s">
        <v>826</v>
      </c>
      <c r="G74" s="234" t="s">
        <v>61</v>
      </c>
      <c r="H74" s="234"/>
      <c r="I74" s="234" t="s">
        <v>852</v>
      </c>
      <c r="J74" s="234"/>
      <c r="K74" s="236"/>
      <c r="L74" s="236"/>
    </row>
    <row r="75" spans="1:12" ht="17.649999999999999">
      <c r="A75" s="234" t="s">
        <v>856</v>
      </c>
      <c r="B75" s="234"/>
      <c r="C75" s="234" t="s">
        <v>61</v>
      </c>
      <c r="D75" s="234" t="s">
        <v>855</v>
      </c>
      <c r="E75" s="234" t="s">
        <v>61</v>
      </c>
      <c r="F75" s="234" t="s">
        <v>826</v>
      </c>
      <c r="G75" s="234" t="s">
        <v>61</v>
      </c>
      <c r="H75" s="234"/>
      <c r="I75" s="234" t="s">
        <v>852</v>
      </c>
      <c r="J75" s="234"/>
      <c r="K75" s="236"/>
      <c r="L75" s="236"/>
    </row>
    <row r="76" spans="1:12" ht="17.649999999999999">
      <c r="A76" s="234" t="s">
        <v>856</v>
      </c>
      <c r="B76" s="234"/>
      <c r="C76" s="234" t="s">
        <v>61</v>
      </c>
      <c r="D76" s="234" t="s">
        <v>855</v>
      </c>
      <c r="E76" s="234" t="s">
        <v>61</v>
      </c>
      <c r="F76" s="234" t="s">
        <v>826</v>
      </c>
      <c r="G76" s="234" t="s">
        <v>61</v>
      </c>
      <c r="H76" s="234"/>
      <c r="I76" s="234" t="s">
        <v>852</v>
      </c>
      <c r="J76" s="234"/>
      <c r="K76" s="236"/>
      <c r="L76" s="236"/>
    </row>
    <row r="77" spans="1:12" ht="17.649999999999999">
      <c r="A77" s="234" t="s">
        <v>856</v>
      </c>
      <c r="B77" s="234"/>
      <c r="C77" s="234" t="s">
        <v>61</v>
      </c>
      <c r="D77" s="234" t="s">
        <v>855</v>
      </c>
      <c r="E77" s="234" t="s">
        <v>61</v>
      </c>
      <c r="F77" s="234" t="s">
        <v>826</v>
      </c>
      <c r="G77" s="234" t="s">
        <v>61</v>
      </c>
      <c r="H77" s="234"/>
      <c r="I77" s="234" t="s">
        <v>852</v>
      </c>
      <c r="J77" s="234"/>
      <c r="K77" s="236"/>
      <c r="L77" s="236"/>
    </row>
    <row r="78" spans="1:12" ht="17.649999999999999">
      <c r="A78" s="234" t="s">
        <v>856</v>
      </c>
      <c r="B78" s="234"/>
      <c r="C78" s="234" t="s">
        <v>61</v>
      </c>
      <c r="D78" s="234" t="s">
        <v>855</v>
      </c>
      <c r="E78" s="234" t="s">
        <v>61</v>
      </c>
      <c r="F78" s="234" t="s">
        <v>826</v>
      </c>
      <c r="G78" s="234" t="s">
        <v>61</v>
      </c>
      <c r="H78" s="234"/>
      <c r="I78" s="234" t="s">
        <v>852</v>
      </c>
      <c r="J78" s="234"/>
      <c r="K78" s="236"/>
      <c r="L78" s="236"/>
    </row>
    <row r="79" spans="1:12" ht="17.649999999999999">
      <c r="A79" s="234" t="s">
        <v>856</v>
      </c>
      <c r="B79" s="234"/>
      <c r="C79" s="234" t="s">
        <v>61</v>
      </c>
      <c r="D79" s="234" t="s">
        <v>855</v>
      </c>
      <c r="E79" s="234" t="s">
        <v>61</v>
      </c>
      <c r="F79" s="234" t="s">
        <v>826</v>
      </c>
      <c r="G79" s="234" t="s">
        <v>61</v>
      </c>
      <c r="H79" s="234"/>
      <c r="I79" s="234" t="s">
        <v>852</v>
      </c>
      <c r="J79" s="234"/>
      <c r="K79" s="236"/>
      <c r="L79" s="236"/>
    </row>
    <row r="80" spans="1:12" ht="17.649999999999999">
      <c r="A80" s="234" t="s">
        <v>856</v>
      </c>
      <c r="B80" s="234"/>
      <c r="C80" s="234" t="s">
        <v>61</v>
      </c>
      <c r="D80" s="234" t="s">
        <v>855</v>
      </c>
      <c r="E80" s="234" t="s">
        <v>61</v>
      </c>
      <c r="F80" s="234" t="s">
        <v>826</v>
      </c>
      <c r="G80" s="234" t="s">
        <v>61</v>
      </c>
      <c r="H80" s="234"/>
      <c r="I80" s="234" t="s">
        <v>852</v>
      </c>
      <c r="J80" s="234"/>
      <c r="K80" s="236"/>
      <c r="L80" s="236"/>
    </row>
    <row r="81" spans="1:12" ht="17.649999999999999">
      <c r="A81" s="234" t="s">
        <v>856</v>
      </c>
      <c r="B81" s="234"/>
      <c r="C81" s="234" t="s">
        <v>61</v>
      </c>
      <c r="D81" s="234" t="s">
        <v>855</v>
      </c>
      <c r="E81" s="234" t="s">
        <v>61</v>
      </c>
      <c r="F81" s="234" t="s">
        <v>826</v>
      </c>
      <c r="G81" s="234" t="s">
        <v>61</v>
      </c>
      <c r="H81" s="234"/>
      <c r="I81" s="234" t="s">
        <v>852</v>
      </c>
      <c r="J81" s="234"/>
      <c r="K81" s="236"/>
      <c r="L81" s="236"/>
    </row>
    <row r="82" spans="1:12" ht="17.649999999999999">
      <c r="A82" s="234" t="s">
        <v>856</v>
      </c>
      <c r="B82" s="234"/>
      <c r="C82" s="234" t="s">
        <v>61</v>
      </c>
      <c r="D82" s="234" t="s">
        <v>855</v>
      </c>
      <c r="E82" s="234" t="s">
        <v>61</v>
      </c>
      <c r="F82" s="234" t="s">
        <v>826</v>
      </c>
      <c r="G82" s="234" t="s">
        <v>61</v>
      </c>
      <c r="H82" s="234"/>
      <c r="I82" s="234" t="s">
        <v>852</v>
      </c>
      <c r="J82" s="234"/>
      <c r="K82" s="236"/>
      <c r="L82" s="236"/>
    </row>
    <row r="83" spans="1:12" ht="17.649999999999999">
      <c r="A83" s="234" t="s">
        <v>856</v>
      </c>
      <c r="B83" s="234"/>
      <c r="C83" s="234" t="s">
        <v>61</v>
      </c>
      <c r="D83" s="234" t="s">
        <v>855</v>
      </c>
      <c r="E83" s="234" t="s">
        <v>61</v>
      </c>
      <c r="F83" s="234" t="s">
        <v>826</v>
      </c>
      <c r="G83" s="234" t="s">
        <v>61</v>
      </c>
      <c r="H83" s="234"/>
      <c r="I83" s="234" t="s">
        <v>852</v>
      </c>
      <c r="J83" s="234"/>
      <c r="K83" s="236"/>
      <c r="L83" s="236"/>
    </row>
    <row r="84" spans="1:12" ht="17.649999999999999">
      <c r="A84" s="234" t="s">
        <v>856</v>
      </c>
      <c r="B84" s="234"/>
      <c r="C84" s="234" t="s">
        <v>61</v>
      </c>
      <c r="D84" s="234" t="s">
        <v>855</v>
      </c>
      <c r="E84" s="234" t="s">
        <v>61</v>
      </c>
      <c r="F84" s="234" t="s">
        <v>826</v>
      </c>
      <c r="G84" s="234" t="s">
        <v>61</v>
      </c>
      <c r="H84" s="234"/>
      <c r="I84" s="234" t="s">
        <v>852</v>
      </c>
      <c r="J84" s="234"/>
      <c r="K84" s="236"/>
      <c r="L84" s="236"/>
    </row>
    <row r="85" spans="1:12" ht="17.649999999999999">
      <c r="A85" s="234" t="s">
        <v>856</v>
      </c>
      <c r="B85" s="234"/>
      <c r="C85" s="234" t="s">
        <v>61</v>
      </c>
      <c r="D85" s="234" t="s">
        <v>855</v>
      </c>
      <c r="E85" s="234" t="s">
        <v>61</v>
      </c>
      <c r="F85" s="234" t="s">
        <v>826</v>
      </c>
      <c r="G85" s="234" t="s">
        <v>61</v>
      </c>
      <c r="H85" s="234"/>
      <c r="I85" s="234" t="s">
        <v>852</v>
      </c>
      <c r="J85" s="234"/>
      <c r="K85" s="236"/>
      <c r="L85" s="236"/>
    </row>
    <row r="86" spans="1:12" ht="17.649999999999999">
      <c r="A86" s="234" t="s">
        <v>856</v>
      </c>
      <c r="B86" s="234"/>
      <c r="C86" s="234" t="s">
        <v>61</v>
      </c>
      <c r="D86" s="234" t="s">
        <v>855</v>
      </c>
      <c r="E86" s="234" t="s">
        <v>61</v>
      </c>
      <c r="F86" s="234" t="s">
        <v>826</v>
      </c>
      <c r="G86" s="234" t="s">
        <v>61</v>
      </c>
      <c r="H86" s="234"/>
      <c r="I86" s="234" t="s">
        <v>852</v>
      </c>
      <c r="J86" s="234"/>
      <c r="K86" s="236"/>
      <c r="L86" s="236"/>
    </row>
    <row r="87" spans="1:12" ht="17.649999999999999">
      <c r="A87" s="234" t="s">
        <v>856</v>
      </c>
      <c r="B87" s="234"/>
      <c r="C87" s="234" t="s">
        <v>61</v>
      </c>
      <c r="D87" s="234" t="s">
        <v>855</v>
      </c>
      <c r="E87" s="234" t="s">
        <v>61</v>
      </c>
      <c r="F87" s="234" t="s">
        <v>826</v>
      </c>
      <c r="G87" s="234" t="s">
        <v>61</v>
      </c>
      <c r="H87" s="234"/>
      <c r="I87" s="234" t="s">
        <v>852</v>
      </c>
      <c r="J87" s="234"/>
      <c r="K87" s="236"/>
      <c r="L87" s="236"/>
    </row>
    <row r="88" spans="1:12" ht="17.649999999999999">
      <c r="A88" s="234" t="s">
        <v>856</v>
      </c>
      <c r="B88" s="234"/>
      <c r="C88" s="234" t="s">
        <v>61</v>
      </c>
      <c r="D88" s="234" t="s">
        <v>855</v>
      </c>
      <c r="E88" s="234" t="s">
        <v>61</v>
      </c>
      <c r="F88" s="234" t="s">
        <v>826</v>
      </c>
      <c r="G88" s="234" t="s">
        <v>61</v>
      </c>
      <c r="H88" s="234"/>
      <c r="I88" s="234" t="s">
        <v>852</v>
      </c>
      <c r="J88" s="234"/>
      <c r="K88" s="236"/>
      <c r="L88" s="236"/>
    </row>
    <row r="89" spans="1:12" ht="17.649999999999999">
      <c r="A89" s="234" t="s">
        <v>856</v>
      </c>
      <c r="B89" s="234"/>
      <c r="C89" s="234" t="s">
        <v>61</v>
      </c>
      <c r="D89" s="234" t="s">
        <v>855</v>
      </c>
      <c r="E89" s="234" t="s">
        <v>61</v>
      </c>
      <c r="F89" s="234" t="s">
        <v>826</v>
      </c>
      <c r="G89" s="234" t="s">
        <v>61</v>
      </c>
      <c r="H89" s="234"/>
      <c r="I89" s="234" t="s">
        <v>852</v>
      </c>
      <c r="J89" s="234"/>
      <c r="K89" s="236"/>
      <c r="L89" s="236"/>
    </row>
    <row r="90" spans="1:12" ht="17.649999999999999">
      <c r="A90" s="234" t="s">
        <v>856</v>
      </c>
      <c r="B90" s="234"/>
      <c r="C90" s="234" t="s">
        <v>61</v>
      </c>
      <c r="D90" s="234" t="s">
        <v>855</v>
      </c>
      <c r="E90" s="234" t="s">
        <v>61</v>
      </c>
      <c r="F90" s="234" t="s">
        <v>826</v>
      </c>
      <c r="G90" s="234" t="s">
        <v>61</v>
      </c>
      <c r="H90" s="234"/>
      <c r="I90" s="234" t="s">
        <v>852</v>
      </c>
      <c r="J90" s="234"/>
      <c r="K90" s="236"/>
      <c r="L90" s="236"/>
    </row>
    <row r="91" spans="1:12" ht="17.649999999999999">
      <c r="A91" s="234" t="s">
        <v>856</v>
      </c>
      <c r="B91" s="234"/>
      <c r="C91" s="234" t="s">
        <v>61</v>
      </c>
      <c r="D91" s="234" t="s">
        <v>855</v>
      </c>
      <c r="E91" s="234" t="s">
        <v>61</v>
      </c>
      <c r="F91" s="234" t="s">
        <v>826</v>
      </c>
      <c r="G91" s="234" t="s">
        <v>61</v>
      </c>
      <c r="H91" s="234"/>
      <c r="I91" s="234" t="s">
        <v>852</v>
      </c>
      <c r="J91" s="234"/>
      <c r="K91" s="236"/>
      <c r="L91" s="236"/>
    </row>
    <row r="92" spans="1:12" ht="17.649999999999999">
      <c r="A92" s="234" t="s">
        <v>856</v>
      </c>
      <c r="B92" s="234"/>
      <c r="C92" s="234" t="s">
        <v>61</v>
      </c>
      <c r="D92" s="234" t="s">
        <v>855</v>
      </c>
      <c r="E92" s="234" t="s">
        <v>61</v>
      </c>
      <c r="F92" s="234" t="s">
        <v>826</v>
      </c>
      <c r="G92" s="234" t="s">
        <v>61</v>
      </c>
      <c r="H92" s="234"/>
      <c r="I92" s="234" t="s">
        <v>852</v>
      </c>
      <c r="J92" s="234"/>
      <c r="K92" s="236"/>
      <c r="L92" s="236"/>
    </row>
    <row r="93" spans="1:12" ht="17.649999999999999">
      <c r="A93" s="234" t="s">
        <v>856</v>
      </c>
      <c r="B93" s="234"/>
      <c r="C93" s="234" t="s">
        <v>61</v>
      </c>
      <c r="D93" s="234" t="s">
        <v>855</v>
      </c>
      <c r="E93" s="234" t="s">
        <v>61</v>
      </c>
      <c r="F93" s="234" t="s">
        <v>826</v>
      </c>
      <c r="G93" s="234" t="s">
        <v>61</v>
      </c>
      <c r="H93" s="234"/>
      <c r="I93" s="234" t="s">
        <v>852</v>
      </c>
      <c r="J93" s="234"/>
      <c r="K93" s="236"/>
      <c r="L93" s="236"/>
    </row>
    <row r="94" spans="1:12" ht="17.649999999999999">
      <c r="A94" s="234" t="s">
        <v>856</v>
      </c>
      <c r="B94" s="234"/>
      <c r="C94" s="234" t="s">
        <v>61</v>
      </c>
      <c r="D94" s="234" t="s">
        <v>855</v>
      </c>
      <c r="E94" s="234" t="s">
        <v>61</v>
      </c>
      <c r="F94" s="234" t="s">
        <v>826</v>
      </c>
      <c r="G94" s="234" t="s">
        <v>61</v>
      </c>
      <c r="H94" s="234"/>
      <c r="I94" s="234" t="s">
        <v>852</v>
      </c>
      <c r="J94" s="234"/>
      <c r="K94" s="236"/>
      <c r="L94" s="236"/>
    </row>
    <row r="95" spans="1:12" ht="17.649999999999999">
      <c r="A95" s="234" t="s">
        <v>856</v>
      </c>
      <c r="B95" s="234"/>
      <c r="C95" s="234" t="s">
        <v>61</v>
      </c>
      <c r="D95" s="234" t="s">
        <v>855</v>
      </c>
      <c r="E95" s="234" t="s">
        <v>61</v>
      </c>
      <c r="F95" s="234" t="s">
        <v>826</v>
      </c>
      <c r="G95" s="234" t="s">
        <v>61</v>
      </c>
      <c r="H95" s="234"/>
      <c r="I95" s="234" t="s">
        <v>852</v>
      </c>
      <c r="J95" s="234"/>
      <c r="K95" s="236"/>
      <c r="L95" s="236"/>
    </row>
    <row r="96" spans="1:12" ht="17.649999999999999">
      <c r="A96" s="234" t="s">
        <v>856</v>
      </c>
      <c r="B96" s="234"/>
      <c r="C96" s="234" t="s">
        <v>61</v>
      </c>
      <c r="D96" s="234" t="s">
        <v>855</v>
      </c>
      <c r="E96" s="234" t="s">
        <v>61</v>
      </c>
      <c r="F96" s="234" t="s">
        <v>826</v>
      </c>
      <c r="G96" s="234" t="s">
        <v>61</v>
      </c>
      <c r="H96" s="234"/>
      <c r="I96" s="234" t="s">
        <v>852</v>
      </c>
      <c r="J96" s="234"/>
      <c r="K96" s="236"/>
      <c r="L96" s="236"/>
    </row>
    <row r="97" spans="1:12" ht="17.649999999999999">
      <c r="A97" s="234" t="s">
        <v>856</v>
      </c>
      <c r="B97" s="234"/>
      <c r="C97" s="234" t="s">
        <v>61</v>
      </c>
      <c r="D97" s="234" t="s">
        <v>855</v>
      </c>
      <c r="E97" s="234" t="s">
        <v>61</v>
      </c>
      <c r="F97" s="234" t="s">
        <v>826</v>
      </c>
      <c r="G97" s="234" t="s">
        <v>61</v>
      </c>
      <c r="H97" s="234"/>
      <c r="I97" s="234" t="s">
        <v>852</v>
      </c>
      <c r="J97" s="234"/>
      <c r="K97" s="236"/>
      <c r="L97" s="236"/>
    </row>
    <row r="98" spans="1:12" ht="17.649999999999999">
      <c r="A98" s="234" t="s">
        <v>856</v>
      </c>
      <c r="B98" s="234"/>
      <c r="C98" s="234" t="s">
        <v>61</v>
      </c>
      <c r="D98" s="234" t="s">
        <v>855</v>
      </c>
      <c r="E98" s="234" t="s">
        <v>61</v>
      </c>
      <c r="F98" s="234" t="s">
        <v>826</v>
      </c>
      <c r="G98" s="234" t="s">
        <v>61</v>
      </c>
      <c r="H98" s="234"/>
      <c r="I98" s="234" t="s">
        <v>852</v>
      </c>
      <c r="J98" s="234"/>
      <c r="K98" s="236"/>
      <c r="L98" s="236"/>
    </row>
    <row r="99" spans="1:12" ht="17.649999999999999">
      <c r="A99" s="234" t="s">
        <v>856</v>
      </c>
      <c r="B99" s="234"/>
      <c r="C99" s="234" t="s">
        <v>61</v>
      </c>
      <c r="D99" s="234" t="s">
        <v>855</v>
      </c>
      <c r="E99" s="234" t="s">
        <v>61</v>
      </c>
      <c r="F99" s="234" t="s">
        <v>826</v>
      </c>
      <c r="G99" s="234" t="s">
        <v>61</v>
      </c>
      <c r="H99" s="234"/>
      <c r="I99" s="234" t="s">
        <v>852</v>
      </c>
      <c r="J99" s="234"/>
      <c r="K99" s="236"/>
      <c r="L99" s="236"/>
    </row>
    <row r="100" spans="1:12" ht="17.649999999999999">
      <c r="A100" s="234" t="s">
        <v>856</v>
      </c>
      <c r="B100" s="234"/>
      <c r="C100" s="234" t="s">
        <v>61</v>
      </c>
      <c r="D100" s="234" t="s">
        <v>855</v>
      </c>
      <c r="E100" s="234" t="s">
        <v>61</v>
      </c>
      <c r="F100" s="234" t="s">
        <v>826</v>
      </c>
      <c r="G100" s="234" t="s">
        <v>61</v>
      </c>
      <c r="H100" s="234"/>
      <c r="I100" s="234" t="s">
        <v>852</v>
      </c>
      <c r="J100" s="234"/>
      <c r="K100" s="236"/>
      <c r="L100" s="236"/>
    </row>
  </sheetData>
  <sheetProtection algorithmName="SHA-512" hashValue="nn2+d7Lyg9IQugWE1qqVa2R74FeZzo6axi1XzV+vWOI0NdC92Ohj7SQSISHEgowz7fRPIRbjLPUGHpgih0oIvw==" saltValue="XsyyLdEfiFmXjQ+TGnASgA==" spinCount="100000" sheet="1" objects="1" scenarios="1"/>
  <mergeCells count="1">
    <mergeCell ref="E2:G2"/>
  </mergeCells>
  <phoneticPr fontId="1"/>
  <dataValidations count="7">
    <dataValidation type="list" allowBlank="1" showInputMessage="1" showErrorMessage="1" sqref="A7:A100" xr:uid="{00000000-0002-0000-0300-000001000000}">
      <formula1>"副代表者/Deputy Representative,共同研究者/Researcher"</formula1>
    </dataValidation>
    <dataValidation type="textLength" operator="equal" allowBlank="1" showInputMessage="1" showErrorMessage="1" error="5桁で入力してください" sqref="L6:L100" xr:uid="{00000000-0002-0000-0300-000002000000}">
      <formula1>5</formula1>
    </dataValidation>
    <dataValidation type="list" showInputMessage="1" showErrorMessage="1" sqref="E6:E100" xr:uid="{00000000-0002-0000-0300-000003000000}">
      <formula1>$Q$2:$Q$4</formula1>
    </dataValidation>
    <dataValidation type="list" allowBlank="1" showInputMessage="1" showErrorMessage="1" sqref="C6:C100" xr:uid="{00000000-0002-0000-0300-000004000000}">
      <formula1>$P$2:$P$3</formula1>
    </dataValidation>
    <dataValidation type="list" showInputMessage="1" showErrorMessage="1" sqref="F6:F100" xr:uid="{00000000-0002-0000-0300-000005000000}">
      <formula1>$R$2:$R$6</formula1>
    </dataValidation>
    <dataValidation type="list" errorStyle="information" allowBlank="1" showInputMessage="1" sqref="H6:H100" xr:uid="{00000000-0002-0000-0300-000007000000}">
      <formula1>$T$2:$T$10</formula1>
    </dataValidation>
    <dataValidation type="list" showInputMessage="1" showErrorMessage="1" sqref="G7:G100" xr:uid="{B6B81890-BD7F-491E-8225-28B731494DE4}">
      <formula1>IF(A7&lt;&gt;"副代表者/Deputy Representative",$S$2:$S$4,$S$2:$S$2)</formula1>
    </dataValidation>
  </dataValidations>
  <pageMargins left="0.51181102362204722" right="0.31496062992125984" top="0.55118110236220474" bottom="0.55118110236220474" header="0.31496062992125984" footer="0.31496062992125984"/>
  <pageSetup paperSize="9" scale="53" fitToHeight="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53001-9E02-A14B-99D4-60AACF6CD358}">
  <sheetPr>
    <pageSetUpPr fitToPage="1"/>
  </sheetPr>
  <dimension ref="A1:P43"/>
  <sheetViews>
    <sheetView zoomScale="80" zoomScaleNormal="80" workbookViewId="0">
      <selection activeCell="F28" sqref="F28"/>
    </sheetView>
  </sheetViews>
  <sheetFormatPr defaultColWidth="8.625" defaultRowHeight="17.649999999999999"/>
  <cols>
    <col min="1" max="1" width="55.625" customWidth="1"/>
    <col min="2" max="2" width="36.625" customWidth="1"/>
    <col min="3" max="3" width="23.625" customWidth="1"/>
    <col min="4" max="4" width="18.125" customWidth="1"/>
    <col min="5" max="5" width="14.625" customWidth="1"/>
    <col min="6" max="6" width="17.625" customWidth="1"/>
    <col min="7" max="8" width="21.125" customWidth="1"/>
    <col min="9" max="9" width="31" customWidth="1"/>
    <col min="10" max="10" width="11.625" hidden="1" customWidth="1"/>
    <col min="11" max="11" width="37.125" hidden="1" customWidth="1"/>
    <col min="12" max="12" width="28.125" style="81" hidden="1" customWidth="1"/>
    <col min="13" max="13" width="19.625" hidden="1" customWidth="1"/>
    <col min="14" max="14" width="13.125" hidden="1" customWidth="1"/>
    <col min="15" max="15" width="9" hidden="1" customWidth="1"/>
    <col min="16" max="16" width="20.125" style="82" hidden="1" customWidth="1"/>
    <col min="17" max="17" width="8.625" customWidth="1"/>
    <col min="18" max="18" width="16.125" customWidth="1"/>
  </cols>
  <sheetData>
    <row r="1" spans="1:16" s="53" customFormat="1" ht="19.899999999999999">
      <c r="A1" s="62" t="s">
        <v>858</v>
      </c>
      <c r="D1" s="439" t="s">
        <v>36</v>
      </c>
      <c r="L1" s="79"/>
      <c r="P1" s="80"/>
    </row>
    <row r="2" spans="1:16" s="53" customFormat="1">
      <c r="L2" s="79"/>
      <c r="P2" s="80"/>
    </row>
    <row r="3" spans="1:16" s="53" customFormat="1">
      <c r="A3" s="53" t="s">
        <v>859</v>
      </c>
      <c r="D3" s="197"/>
      <c r="E3" s="197"/>
      <c r="L3" s="79"/>
      <c r="P3" s="80"/>
    </row>
    <row r="4" spans="1:16">
      <c r="A4" s="52"/>
      <c r="B4" s="50" t="s">
        <v>860</v>
      </c>
      <c r="C4" s="50" t="s">
        <v>861</v>
      </c>
    </row>
    <row r="5" spans="1:16" ht="19.899999999999999">
      <c r="A5" s="51" t="s">
        <v>862</v>
      </c>
      <c r="B5" s="83">
        <f>ROUNDUP(SUM(G15:G21),0)</f>
        <v>0</v>
      </c>
      <c r="C5" s="47"/>
      <c r="J5" s="40"/>
      <c r="K5" s="40"/>
      <c r="M5" s="40"/>
      <c r="N5" s="41"/>
    </row>
    <row r="6" spans="1:16" ht="19.899999999999999">
      <c r="A6" s="601" t="s">
        <v>863</v>
      </c>
      <c r="B6" s="602">
        <f>ROUNDUP(SUM(H15:H21),0)</f>
        <v>0</v>
      </c>
      <c r="C6" s="603"/>
      <c r="D6" s="1" t="s">
        <v>864</v>
      </c>
      <c r="E6" s="28"/>
      <c r="J6" s="40"/>
      <c r="K6" s="40"/>
      <c r="M6" s="40"/>
      <c r="N6" s="41"/>
    </row>
    <row r="7" spans="1:16" ht="19.899999999999999">
      <c r="A7" s="51" t="s">
        <v>865</v>
      </c>
      <c r="B7" s="84">
        <f>ROUNDUP(SUM(G23:G25),0)</f>
        <v>0</v>
      </c>
      <c r="C7" s="48"/>
      <c r="J7" s="42" t="s">
        <v>866</v>
      </c>
      <c r="K7" s="42"/>
      <c r="L7" s="85"/>
      <c r="M7" s="42"/>
      <c r="N7" s="40"/>
    </row>
    <row r="8" spans="1:16" ht="19.899999999999999">
      <c r="A8" s="54" t="s">
        <v>867</v>
      </c>
      <c r="B8" s="86">
        <f>B5+B7</f>
        <v>0</v>
      </c>
      <c r="C8" s="47" t="str">
        <f>IF(B8&gt;$N$8,TEXT($N$8,"#,###")&amp;"円を超過しています/Excessing "&amp;TEXT($N$8,"#,###")&amp;"JPY","")</f>
        <v/>
      </c>
      <c r="I8" s="53" t="str">
        <f>"※1拠点あたりの上限値は "&amp;TEXT($N$8,"#,###")&amp;"円"</f>
        <v>※1拠点あたりの上限値は 3,000,000円</v>
      </c>
      <c r="J8" s="40"/>
      <c r="K8" s="40"/>
      <c r="M8" s="40"/>
      <c r="N8" s="87">
        <v>3000000</v>
      </c>
      <c r="P8"/>
    </row>
    <row r="9" spans="1:16">
      <c r="A9" s="46" t="s">
        <v>868</v>
      </c>
      <c r="B9" s="46"/>
      <c r="C9" s="49" t="str">
        <f>IF((COUNTBLANK(C8)+COUNTBLANK(I15:I25))&lt;(1+ROWS(I15:I25)),"資源超過などが発生しています/Problems are present","")</f>
        <v/>
      </c>
      <c r="I9" s="53" t="str">
        <f>"Note: Maximum resource fee per one center is "&amp;TEXT($N$8,"#,###")&amp;"(JPY)"</f>
        <v>Note: Maximum resource fee per one center is 3,000,000(JPY)</v>
      </c>
      <c r="J9" s="40"/>
      <c r="K9" s="40"/>
      <c r="M9" s="40"/>
      <c r="N9" s="40"/>
    </row>
    <row r="10" spans="1:16">
      <c r="A10" s="40"/>
      <c r="B10" s="40"/>
      <c r="C10" s="40"/>
      <c r="D10" s="40"/>
      <c r="E10" s="40"/>
      <c r="F10" s="40"/>
      <c r="G10" s="40"/>
      <c r="H10" s="40"/>
      <c r="I10" s="38"/>
      <c r="J10" s="40"/>
      <c r="K10" s="40"/>
      <c r="M10" s="40"/>
      <c r="N10" s="40"/>
    </row>
    <row r="11" spans="1:16">
      <c r="A11" s="53" t="s">
        <v>869</v>
      </c>
      <c r="B11" s="40"/>
      <c r="C11" s="40"/>
      <c r="D11" s="44" t="s">
        <v>870</v>
      </c>
      <c r="E11" s="44"/>
      <c r="F11" s="44"/>
      <c r="G11" s="40"/>
      <c r="H11" s="40"/>
      <c r="I11" s="40"/>
      <c r="J11" s="40"/>
      <c r="K11" s="40"/>
      <c r="M11" s="40"/>
      <c r="N11" s="40"/>
      <c r="P11"/>
    </row>
    <row r="12" spans="1:16">
      <c r="A12" s="53"/>
      <c r="B12" s="40"/>
      <c r="C12" s="40"/>
      <c r="E12" s="44" t="s">
        <v>871</v>
      </c>
      <c r="F12" s="44"/>
      <c r="G12" s="217"/>
      <c r="H12" s="217"/>
      <c r="I12" s="40"/>
      <c r="J12" s="40"/>
      <c r="K12" s="40"/>
      <c r="M12" s="40"/>
      <c r="N12" s="40"/>
      <c r="P12"/>
    </row>
    <row r="13" spans="1:16" ht="55.35" customHeight="1">
      <c r="A13" s="89" t="s">
        <v>872</v>
      </c>
      <c r="B13" s="90" t="s">
        <v>873</v>
      </c>
      <c r="C13" s="91" t="s">
        <v>874</v>
      </c>
      <c r="D13" s="89" t="s">
        <v>875</v>
      </c>
      <c r="E13" s="604" t="s">
        <v>876</v>
      </c>
      <c r="F13" s="248" t="s">
        <v>877</v>
      </c>
      <c r="G13" s="249" t="s">
        <v>878</v>
      </c>
      <c r="H13" s="605" t="s">
        <v>879</v>
      </c>
      <c r="I13" s="50" t="s">
        <v>861</v>
      </c>
      <c r="J13" s="40"/>
      <c r="K13" s="40"/>
      <c r="M13" s="40"/>
      <c r="N13" s="40" t="s">
        <v>880</v>
      </c>
    </row>
    <row r="14" spans="1:16" ht="18" thickBot="1">
      <c r="A14" s="92" t="s">
        <v>881</v>
      </c>
      <c r="B14" s="93"/>
      <c r="C14" s="56"/>
      <c r="D14" s="89"/>
      <c r="E14" s="89"/>
      <c r="F14" s="522"/>
      <c r="G14" s="89"/>
      <c r="H14" s="89"/>
      <c r="I14" s="89"/>
      <c r="J14" s="40"/>
      <c r="K14" s="40"/>
      <c r="M14" s="40"/>
      <c r="N14" s="40"/>
    </row>
    <row r="15" spans="1:16" ht="35.25" customHeight="1">
      <c r="A15" s="458" t="s">
        <v>882</v>
      </c>
      <c r="B15" s="459" t="s">
        <v>883</v>
      </c>
      <c r="C15" s="523">
        <v>42000</v>
      </c>
      <c r="D15" s="460"/>
      <c r="E15" s="461" t="s">
        <v>884</v>
      </c>
      <c r="F15" s="524">
        <f t="shared" ref="F15:F17" si="0">D15*P15</f>
        <v>0</v>
      </c>
      <c r="G15" s="462">
        <f t="shared" ref="G15:G17" si="1">D15*O15</f>
        <v>0</v>
      </c>
      <c r="H15" s="463">
        <f>IF(E15="○",G15,0)</f>
        <v>0</v>
      </c>
      <c r="I15" s="464" t="str">
        <f t="shared" ref="I15:I21" si="2">IF((D15*P15)&gt;C15,"利用資源が超過しています/Desired resource exceeds the limit","")</f>
        <v/>
      </c>
      <c r="J15" s="40"/>
      <c r="K15" s="40" t="s">
        <v>885</v>
      </c>
      <c r="L15" s="101" t="s">
        <v>886</v>
      </c>
      <c r="M15" s="525">
        <f>42000</f>
        <v>42000</v>
      </c>
      <c r="N15" s="40">
        <f>O15/10000</f>
        <v>1.75E-3</v>
      </c>
      <c r="O15" s="465">
        <v>17.5</v>
      </c>
      <c r="P15" s="82">
        <v>1</v>
      </c>
    </row>
    <row r="16" spans="1:16" ht="36.75" customHeight="1">
      <c r="A16" s="466" t="s">
        <v>887</v>
      </c>
      <c r="B16" s="467" t="s">
        <v>888</v>
      </c>
      <c r="C16" s="468">
        <v>13000</v>
      </c>
      <c r="D16" s="469"/>
      <c r="E16" s="470" t="s">
        <v>884</v>
      </c>
      <c r="F16" s="471">
        <f t="shared" si="0"/>
        <v>0</v>
      </c>
      <c r="G16" s="472">
        <f t="shared" si="1"/>
        <v>0</v>
      </c>
      <c r="H16" s="473">
        <f t="shared" ref="H16:H21" si="3">IF(E16="○",G16,0)</f>
        <v>0</v>
      </c>
      <c r="I16" s="474" t="str">
        <f t="shared" si="2"/>
        <v/>
      </c>
      <c r="J16" s="40"/>
      <c r="K16" s="40" t="s">
        <v>889</v>
      </c>
      <c r="L16" s="101" t="s">
        <v>890</v>
      </c>
      <c r="M16" s="475">
        <f>13000</f>
        <v>13000</v>
      </c>
      <c r="N16" s="40">
        <f>O16/10000</f>
        <v>5.5999999999999999E-3</v>
      </c>
      <c r="O16" s="465">
        <v>56</v>
      </c>
      <c r="P16" s="82">
        <v>1</v>
      </c>
    </row>
    <row r="17" spans="1:16" ht="35.65" thickBot="1">
      <c r="A17" s="97" t="s">
        <v>891</v>
      </c>
      <c r="B17" s="114" t="s">
        <v>892</v>
      </c>
      <c r="C17" s="106">
        <f>4*10</f>
        <v>40</v>
      </c>
      <c r="D17" s="476"/>
      <c r="E17" s="241" t="s">
        <v>884</v>
      </c>
      <c r="F17" s="477">
        <f t="shared" si="0"/>
        <v>0</v>
      </c>
      <c r="G17" s="478">
        <f t="shared" si="1"/>
        <v>0</v>
      </c>
      <c r="H17" s="252">
        <f t="shared" si="3"/>
        <v>0</v>
      </c>
      <c r="I17" s="456" t="str">
        <f t="shared" si="2"/>
        <v/>
      </c>
      <c r="J17" s="40"/>
      <c r="K17" s="94" t="s">
        <v>893</v>
      </c>
      <c r="L17" s="95" t="s">
        <v>894</v>
      </c>
      <c r="M17" s="103">
        <f>4*10</f>
        <v>40</v>
      </c>
      <c r="N17" s="40">
        <v>3</v>
      </c>
      <c r="O17" s="82">
        <f t="shared" ref="O17" si="4">N17*10000</f>
        <v>30000</v>
      </c>
      <c r="P17" s="82">
        <v>4</v>
      </c>
    </row>
    <row r="18" spans="1:16" ht="18" customHeight="1">
      <c r="A18" s="99" t="s">
        <v>895</v>
      </c>
      <c r="B18" s="104" t="s">
        <v>896</v>
      </c>
      <c r="C18" s="526">
        <v>600</v>
      </c>
      <c r="D18" s="221"/>
      <c r="E18" s="242" t="s">
        <v>884</v>
      </c>
      <c r="F18" s="527">
        <f>D18*P18</f>
        <v>0</v>
      </c>
      <c r="G18" s="250">
        <f>D18*O18</f>
        <v>0</v>
      </c>
      <c r="H18" s="251">
        <f t="shared" si="3"/>
        <v>0</v>
      </c>
      <c r="I18" s="105" t="str">
        <f t="shared" si="2"/>
        <v/>
      </c>
      <c r="J18" s="40"/>
      <c r="K18" s="40" t="s">
        <v>897</v>
      </c>
      <c r="L18" s="101" t="s">
        <v>898</v>
      </c>
      <c r="M18" s="479">
        <v>600</v>
      </c>
      <c r="N18" s="480">
        <v>0.48</v>
      </c>
      <c r="O18" s="481">
        <v>4800</v>
      </c>
      <c r="P18" s="82">
        <v>1</v>
      </c>
    </row>
    <row r="19" spans="1:16">
      <c r="A19" s="482" t="s">
        <v>899</v>
      </c>
      <c r="B19" s="483" t="s">
        <v>900</v>
      </c>
      <c r="C19" s="528">
        <v>1</v>
      </c>
      <c r="D19" s="484"/>
      <c r="E19" s="485" t="s">
        <v>884</v>
      </c>
      <c r="F19" s="486">
        <f>D19*P19</f>
        <v>0</v>
      </c>
      <c r="G19" s="487">
        <f>D19*O19</f>
        <v>0</v>
      </c>
      <c r="H19" s="488">
        <f t="shared" si="3"/>
        <v>0</v>
      </c>
      <c r="I19" s="489" t="str">
        <f t="shared" si="2"/>
        <v/>
      </c>
      <c r="J19" s="40"/>
      <c r="K19" s="40" t="s">
        <v>901</v>
      </c>
      <c r="L19" s="101" t="s">
        <v>900</v>
      </c>
      <c r="M19" s="490">
        <v>1</v>
      </c>
      <c r="N19" s="480">
        <v>33.6</v>
      </c>
      <c r="O19" s="481">
        <v>336000</v>
      </c>
      <c r="P19" s="82">
        <v>1</v>
      </c>
    </row>
    <row r="20" spans="1:16" ht="17.100000000000001" customHeight="1">
      <c r="A20" s="482" t="s">
        <v>902</v>
      </c>
      <c r="B20" s="483" t="s">
        <v>903</v>
      </c>
      <c r="C20" s="529">
        <v>1</v>
      </c>
      <c r="D20" s="484"/>
      <c r="E20" s="485"/>
      <c r="F20" s="530">
        <f>D20*P20</f>
        <v>0</v>
      </c>
      <c r="G20" s="491">
        <f>D20*O20</f>
        <v>0</v>
      </c>
      <c r="H20" s="492">
        <f t="shared" si="3"/>
        <v>0</v>
      </c>
      <c r="I20" s="489" t="str">
        <f t="shared" si="2"/>
        <v/>
      </c>
      <c r="J20" s="40"/>
      <c r="K20" s="40" t="s">
        <v>904</v>
      </c>
      <c r="L20" s="101" t="s">
        <v>905</v>
      </c>
      <c r="M20" s="493">
        <v>1</v>
      </c>
      <c r="N20" s="480">
        <v>86.4</v>
      </c>
      <c r="O20" s="481">
        <v>864000</v>
      </c>
      <c r="P20" s="82">
        <v>1</v>
      </c>
    </row>
    <row r="21" spans="1:16" ht="18" thickBot="1">
      <c r="A21" s="97" t="s">
        <v>906</v>
      </c>
      <c r="B21" s="114" t="s">
        <v>907</v>
      </c>
      <c r="C21" s="531">
        <v>20</v>
      </c>
      <c r="D21" s="476"/>
      <c r="E21" s="241" t="s">
        <v>884</v>
      </c>
      <c r="F21" s="477">
        <f>D21*P21</f>
        <v>0</v>
      </c>
      <c r="G21" s="478">
        <f>D21*O21</f>
        <v>0</v>
      </c>
      <c r="H21" s="252">
        <f t="shared" si="3"/>
        <v>0</v>
      </c>
      <c r="I21" s="456" t="str">
        <f t="shared" si="2"/>
        <v/>
      </c>
      <c r="J21" s="40"/>
      <c r="K21" s="40" t="s">
        <v>908</v>
      </c>
      <c r="L21" s="101" t="s">
        <v>907</v>
      </c>
      <c r="M21" s="494">
        <v>20</v>
      </c>
      <c r="N21" s="480">
        <v>0.96</v>
      </c>
      <c r="O21" s="481">
        <v>9600</v>
      </c>
      <c r="P21" s="82">
        <v>1</v>
      </c>
    </row>
    <row r="22" spans="1:16" ht="27.75" customHeight="1" thickBot="1">
      <c r="A22" s="107" t="s">
        <v>909</v>
      </c>
      <c r="B22" s="108"/>
      <c r="C22" s="109"/>
      <c r="D22" s="110"/>
      <c r="E22" s="253" t="s">
        <v>884</v>
      </c>
      <c r="F22" s="254"/>
      <c r="G22" s="255"/>
      <c r="H22" s="255"/>
      <c r="I22" s="108"/>
      <c r="J22" s="40"/>
      <c r="K22" s="40"/>
      <c r="M22" s="40"/>
      <c r="N22" s="40"/>
      <c r="O22" s="82"/>
    </row>
    <row r="23" spans="1:16" ht="17.850000000000001" customHeight="1">
      <c r="A23" s="99" t="s">
        <v>910</v>
      </c>
      <c r="B23" s="100" t="s">
        <v>911</v>
      </c>
      <c r="C23" s="667">
        <v>12</v>
      </c>
      <c r="D23" s="223"/>
      <c r="E23" s="256" t="s">
        <v>884</v>
      </c>
      <c r="F23" s="670">
        <f>SUM(D23:D25)</f>
        <v>0</v>
      </c>
      <c r="G23" s="257">
        <f>D23*O23</f>
        <v>0</v>
      </c>
      <c r="H23" s="258"/>
      <c r="I23" s="673" t="str">
        <f>IF((SUM(D23:D25)*P23)&gt;C23,"利用資源が超過しています/Desired resource exceeds the limit","")</f>
        <v/>
      </c>
      <c r="J23" s="40"/>
      <c r="K23" s="40" t="s">
        <v>912</v>
      </c>
      <c r="L23" s="101" t="s">
        <v>913</v>
      </c>
      <c r="M23" s="676">
        <v>12</v>
      </c>
      <c r="N23" s="40">
        <v>4.3200000000000002E-2</v>
      </c>
      <c r="O23" s="82">
        <f t="shared" ref="O23:O25" si="5">N23*10000</f>
        <v>432</v>
      </c>
      <c r="P23" s="82">
        <v>1</v>
      </c>
    </row>
    <row r="24" spans="1:16">
      <c r="A24" s="111" t="s">
        <v>914</v>
      </c>
      <c r="B24" s="112" t="s">
        <v>911</v>
      </c>
      <c r="C24" s="668"/>
      <c r="D24" s="240"/>
      <c r="E24" s="259" t="s">
        <v>884</v>
      </c>
      <c r="F24" s="671"/>
      <c r="G24" s="260">
        <f>D24*O24</f>
        <v>0</v>
      </c>
      <c r="H24" s="261"/>
      <c r="I24" s="674"/>
      <c r="J24" s="40"/>
      <c r="K24" s="40" t="s">
        <v>915</v>
      </c>
      <c r="L24" s="101" t="s">
        <v>913</v>
      </c>
      <c r="M24" s="676"/>
      <c r="N24" s="40">
        <v>0.1188</v>
      </c>
      <c r="O24" s="82">
        <f t="shared" si="5"/>
        <v>1188</v>
      </c>
      <c r="P24" s="82">
        <v>1</v>
      </c>
    </row>
    <row r="25" spans="1:16" ht="18" thickBot="1">
      <c r="A25" s="113" t="s">
        <v>916</v>
      </c>
      <c r="B25" s="114" t="s">
        <v>911</v>
      </c>
      <c r="C25" s="669"/>
      <c r="D25" s="224"/>
      <c r="E25" s="262" t="s">
        <v>884</v>
      </c>
      <c r="F25" s="672"/>
      <c r="G25" s="263">
        <f>D25*O25</f>
        <v>0</v>
      </c>
      <c r="H25" s="264"/>
      <c r="I25" s="675"/>
      <c r="J25" s="40"/>
      <c r="K25" s="40" t="s">
        <v>917</v>
      </c>
      <c r="L25" s="101" t="s">
        <v>913</v>
      </c>
      <c r="M25" s="676"/>
      <c r="N25" s="40">
        <v>0.39960000000000001</v>
      </c>
      <c r="O25" s="82">
        <f t="shared" si="5"/>
        <v>3996</v>
      </c>
      <c r="P25" s="82">
        <v>1</v>
      </c>
    </row>
    <row r="26" spans="1:16">
      <c r="B26" s="26"/>
      <c r="C26" s="26"/>
      <c r="D26" s="26"/>
      <c r="E26" s="26"/>
      <c r="G26" s="265"/>
      <c r="H26" s="265"/>
      <c r="I26" s="35"/>
      <c r="N26" s="29"/>
    </row>
    <row r="27" spans="1:16">
      <c r="A27" s="40"/>
      <c r="B27" s="26"/>
      <c r="C27" s="26"/>
      <c r="D27" s="26"/>
      <c r="E27" s="26"/>
      <c r="G27" s="266"/>
      <c r="H27" s="266"/>
      <c r="I27" s="26"/>
      <c r="N27" s="29"/>
    </row>
    <row r="28" spans="1:16">
      <c r="A28" s="40"/>
      <c r="B28" s="26"/>
      <c r="C28" s="26"/>
      <c r="D28" s="26"/>
      <c r="E28" s="26"/>
      <c r="G28" s="266"/>
      <c r="H28" s="266"/>
      <c r="I28" s="26"/>
      <c r="N28" s="29"/>
    </row>
    <row r="29" spans="1:16">
      <c r="A29" s="40"/>
      <c r="B29" s="26"/>
      <c r="C29" s="26"/>
      <c r="D29" s="26"/>
      <c r="E29" s="26"/>
      <c r="G29" s="26"/>
      <c r="H29" s="26"/>
      <c r="I29" s="26"/>
      <c r="N29" s="29"/>
    </row>
    <row r="30" spans="1:16">
      <c r="A30" s="40"/>
      <c r="B30" s="26"/>
      <c r="C30" s="26"/>
      <c r="D30" s="26"/>
      <c r="E30" s="26"/>
      <c r="G30" s="26"/>
      <c r="H30" s="26"/>
      <c r="I30" s="26"/>
      <c r="N30" s="29"/>
    </row>
    <row r="31" spans="1:16">
      <c r="A31" s="40"/>
      <c r="B31" s="26"/>
      <c r="C31" s="26"/>
      <c r="D31" s="26"/>
      <c r="E31" s="26"/>
      <c r="G31" s="26"/>
      <c r="H31" s="26"/>
      <c r="I31" s="26"/>
      <c r="N31" s="29"/>
    </row>
    <row r="32" spans="1:16">
      <c r="A32" s="40"/>
      <c r="B32" s="26"/>
      <c r="C32" s="26"/>
      <c r="D32" s="26"/>
      <c r="E32" s="26"/>
      <c r="G32" s="26"/>
      <c r="H32" s="26"/>
      <c r="I32" s="26"/>
      <c r="N32" s="29"/>
    </row>
    <row r="33" spans="1:14">
      <c r="A33" s="40"/>
      <c r="B33" s="26"/>
      <c r="C33" s="26"/>
      <c r="D33" s="26"/>
      <c r="E33" s="26"/>
      <c r="G33" s="26"/>
      <c r="H33" s="26"/>
      <c r="I33" s="26"/>
      <c r="N33" s="25"/>
    </row>
    <row r="34" spans="1:14">
      <c r="A34" s="40"/>
      <c r="B34" s="26"/>
      <c r="C34" s="26"/>
      <c r="D34" s="26"/>
      <c r="E34" s="26"/>
      <c r="G34" s="26"/>
      <c r="H34" s="26"/>
      <c r="I34" s="26"/>
      <c r="N34" s="29"/>
    </row>
    <row r="35" spans="1:14">
      <c r="A35" s="40"/>
      <c r="B35" s="26"/>
      <c r="C35" s="26"/>
      <c r="D35" s="26"/>
      <c r="E35" s="26"/>
      <c r="G35" s="26"/>
      <c r="H35" s="26"/>
      <c r="I35" s="26"/>
      <c r="N35" s="29"/>
    </row>
    <row r="36" spans="1:14">
      <c r="A36" s="40"/>
      <c r="B36" s="26"/>
      <c r="C36" s="26"/>
      <c r="D36" s="26"/>
      <c r="E36" s="26"/>
      <c r="G36" s="26"/>
      <c r="H36" s="26"/>
      <c r="I36" s="26"/>
      <c r="N36" s="29"/>
    </row>
    <row r="37" spans="1:14">
      <c r="B37" s="26"/>
      <c r="C37" s="26"/>
      <c r="D37" s="26"/>
      <c r="E37" s="26"/>
      <c r="G37" s="26"/>
      <c r="H37" s="26"/>
      <c r="I37" s="26"/>
      <c r="N37" s="29"/>
    </row>
    <row r="38" spans="1:14">
      <c r="B38" s="26"/>
      <c r="C38" s="26"/>
      <c r="D38" s="26"/>
      <c r="E38" s="26"/>
      <c r="G38" s="26"/>
      <c r="H38" s="26"/>
      <c r="I38" s="26"/>
      <c r="N38" s="29"/>
    </row>
    <row r="39" spans="1:14">
      <c r="B39" s="26"/>
      <c r="C39" s="26"/>
      <c r="D39" s="26"/>
      <c r="E39" s="26"/>
      <c r="G39" s="26"/>
      <c r="H39" s="26"/>
      <c r="I39" s="26"/>
      <c r="N39" s="29"/>
    </row>
    <row r="40" spans="1:14">
      <c r="B40" s="26"/>
      <c r="C40" s="26"/>
      <c r="D40" s="26"/>
      <c r="E40" s="26"/>
      <c r="G40" s="26"/>
      <c r="H40" s="26"/>
      <c r="I40" s="26"/>
      <c r="N40" s="29"/>
    </row>
    <row r="41" spans="1:14">
      <c r="B41" s="26"/>
      <c r="C41" s="26"/>
      <c r="D41" s="26"/>
      <c r="E41" s="26"/>
      <c r="G41" s="26"/>
      <c r="H41" s="26"/>
      <c r="I41" s="26"/>
      <c r="N41" s="25"/>
    </row>
    <row r="42" spans="1:14">
      <c r="B42" s="26"/>
      <c r="C42" s="26"/>
      <c r="D42" s="26"/>
      <c r="E42" s="26"/>
      <c r="G42" s="26"/>
      <c r="H42" s="26"/>
      <c r="I42" s="26"/>
      <c r="N42" s="29"/>
    </row>
    <row r="43" spans="1:14">
      <c r="N43" s="29"/>
    </row>
  </sheetData>
  <sheetProtection algorithmName="SHA-512" hashValue="sR4Nr9w1+vY1zhbAZSPnmmhasiDWxhHLp3gZ21UKVjwYVSDe+74u1cQ89aNpGk6l3h7wsmxbjO718OQ4kPbU6g==" saltValue="MZWA2oGBoOhRGshwOnEeZw==" spinCount="100000" sheet="1" objects="1" scenarios="1"/>
  <mergeCells count="4">
    <mergeCell ref="C23:C25"/>
    <mergeCell ref="F23:F25"/>
    <mergeCell ref="I23:I25"/>
    <mergeCell ref="M23:M25"/>
  </mergeCells>
  <phoneticPr fontId="1"/>
  <dataValidations count="3">
    <dataValidation operator="greaterThanOrEqual" allowBlank="1" showInputMessage="1" showErrorMessage="1" sqref="D22" xr:uid="{44F1D6B8-C800-E141-BDCF-095B55AD8C09}"/>
    <dataValidation type="whole" operator="greaterThanOrEqual" allowBlank="1" showInputMessage="1" showErrorMessage="1" sqref="D23:D25 D15:D21" xr:uid="{88870BA9-6040-104A-B4C6-C5C6EBE05663}">
      <formula1>0</formula1>
    </dataValidation>
    <dataValidation type="list" allowBlank="1" showInputMessage="1" showErrorMessage="1" sqref="E15:E22" xr:uid="{9B5333FD-5275-F24E-BBA5-374FCEFF329F}">
      <formula1>"○,　,"</formula1>
    </dataValidation>
  </dataValidations>
  <pageMargins left="0.7" right="0.7" top="0.75" bottom="0.75" header="0.3" footer="0.3"/>
  <pageSetup paperSize="8" scale="1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D9408-F0BC-45A1-B6D7-2920537D42E2}">
  <dimension ref="A1:K29"/>
  <sheetViews>
    <sheetView zoomScale="80" zoomScaleNormal="80" workbookViewId="0">
      <selection activeCell="G19" sqref="G19"/>
    </sheetView>
  </sheetViews>
  <sheetFormatPr defaultColWidth="8.75" defaultRowHeight="16.350000000000001" customHeight="1"/>
  <cols>
    <col min="1" max="1" width="54.25" customWidth="1"/>
    <col min="2" max="2" width="37.25" customWidth="1"/>
    <col min="3" max="3" width="22.75" customWidth="1"/>
    <col min="4" max="4" width="15.75" customWidth="1"/>
    <col min="5" max="5" width="13.5" customWidth="1"/>
    <col min="6" max="6" width="21.25" customWidth="1"/>
    <col min="7" max="7" width="22.75" customWidth="1"/>
    <col min="8" max="8" width="20" customWidth="1"/>
    <col min="9" max="9" width="24.25" hidden="1" customWidth="1"/>
    <col min="10" max="10" width="10" hidden="1" customWidth="1"/>
    <col min="11" max="11" width="9" hidden="1" customWidth="1"/>
    <col min="14" max="14" width="9.25" customWidth="1"/>
  </cols>
  <sheetData>
    <row r="1" spans="1:11" ht="16.350000000000001" customHeight="1">
      <c r="A1" s="62" t="s">
        <v>918</v>
      </c>
      <c r="D1" s="439" t="s">
        <v>36</v>
      </c>
      <c r="E1" s="53"/>
      <c r="F1" s="53"/>
      <c r="G1" s="53"/>
      <c r="H1" s="53"/>
      <c r="I1" s="53"/>
      <c r="J1" s="53"/>
      <c r="K1" s="62"/>
    </row>
    <row r="2" spans="1:11" ht="16.350000000000001" customHeight="1">
      <c r="A2" s="53"/>
      <c r="B2" s="53"/>
      <c r="C2" s="53"/>
      <c r="D2" s="53"/>
      <c r="E2" s="53"/>
      <c r="F2" s="53"/>
      <c r="G2" s="53"/>
      <c r="H2" s="53"/>
      <c r="I2" s="53"/>
      <c r="J2" s="53"/>
      <c r="K2" s="53"/>
    </row>
    <row r="3" spans="1:11" ht="16.350000000000001" customHeight="1">
      <c r="A3" s="53" t="s">
        <v>859</v>
      </c>
      <c r="B3" s="53"/>
      <c r="C3" s="53"/>
      <c r="D3" s="53"/>
      <c r="E3" s="53"/>
      <c r="F3" s="53"/>
      <c r="G3" s="53"/>
      <c r="H3" s="53"/>
      <c r="I3" s="53"/>
      <c r="J3" s="53"/>
      <c r="K3" s="53"/>
    </row>
    <row r="4" spans="1:11" ht="16.350000000000001" customHeight="1">
      <c r="A4" s="52"/>
      <c r="B4" s="50" t="s">
        <v>919</v>
      </c>
      <c r="C4" s="50" t="s">
        <v>861</v>
      </c>
    </row>
    <row r="5" spans="1:11" ht="16.350000000000001" customHeight="1">
      <c r="A5" s="51" t="s">
        <v>862</v>
      </c>
      <c r="B5" s="115">
        <f>ROUNDUP(SUM(F15:F19),0)</f>
        <v>0</v>
      </c>
      <c r="C5" s="47"/>
      <c r="J5" s="41"/>
      <c r="K5" s="64"/>
    </row>
    <row r="6" spans="1:11" ht="16.350000000000001" customHeight="1">
      <c r="A6" s="601" t="s">
        <v>920</v>
      </c>
      <c r="B6" s="602">
        <f>ROUNDUP(SUM(G15:G19),0)</f>
        <v>0</v>
      </c>
      <c r="C6" s="603"/>
      <c r="D6" s="1" t="s">
        <v>864</v>
      </c>
      <c r="E6" s="1"/>
      <c r="J6" s="41"/>
      <c r="K6" s="64"/>
    </row>
    <row r="7" spans="1:11" ht="16.350000000000001" customHeight="1">
      <c r="A7" s="51" t="s">
        <v>865</v>
      </c>
      <c r="B7" s="116">
        <f>ROUNDUP(SUM(F21:F22),0)</f>
        <v>0</v>
      </c>
      <c r="C7" s="48"/>
      <c r="I7" s="42" t="s">
        <v>921</v>
      </c>
      <c r="K7" s="64"/>
    </row>
    <row r="8" spans="1:11" ht="16.350000000000001" customHeight="1">
      <c r="A8" s="54" t="s">
        <v>867</v>
      </c>
      <c r="B8" s="86">
        <f>B5+B7</f>
        <v>0</v>
      </c>
      <c r="C8" s="47" t="str">
        <f>IF(B8&gt;$J$8,TEXT($J$8,"#,###")&amp;"円を超過しています/Excessing "&amp;TEXT($J$8,"#,###")&amp;"JPY","")</f>
        <v/>
      </c>
      <c r="H8" s="53" t="str">
        <f>"※1拠点あたりの利用資源料上限額は "&amp;TEXT($J$8,"#,###")&amp;"円"</f>
        <v>※1拠点あたりの利用資源料上限額は 3,000,000円</v>
      </c>
      <c r="I8" s="40"/>
      <c r="J8" s="87">
        <v>3000000</v>
      </c>
      <c r="K8" s="88"/>
    </row>
    <row r="9" spans="1:11" ht="16.350000000000001" customHeight="1">
      <c r="A9" s="46" t="s">
        <v>868</v>
      </c>
      <c r="B9" s="50"/>
      <c r="C9" s="49" t="str">
        <f>IF((COUNTBLANK(C8)+COUNTBLANK(H15:H22))&lt;(1+ROWS(H15:H22)),"資源超過などが発生しています/Problems are present","")</f>
        <v/>
      </c>
      <c r="H9" s="53" t="str">
        <f>"Note: Maximum resource fee per one center is "&amp;TEXT(J8,"#,###")&amp;"JPY"</f>
        <v>Note: Maximum resource fee per one center is 3,000,000JPY</v>
      </c>
      <c r="K9" s="40"/>
    </row>
    <row r="10" spans="1:11" ht="16.350000000000001" customHeight="1">
      <c r="A10" s="26"/>
      <c r="B10" s="26"/>
      <c r="C10" s="26"/>
      <c r="D10" s="26"/>
      <c r="E10" s="26"/>
      <c r="F10" s="26"/>
      <c r="G10" s="26"/>
      <c r="H10" s="26"/>
      <c r="I10" s="26"/>
      <c r="J10" s="26"/>
    </row>
    <row r="11" spans="1:11" ht="16.350000000000001" customHeight="1">
      <c r="A11" s="53" t="s">
        <v>922</v>
      </c>
      <c r="B11" s="40"/>
      <c r="C11" s="40"/>
      <c r="D11" s="44" t="s">
        <v>870</v>
      </c>
      <c r="E11" s="44"/>
      <c r="F11" s="217"/>
      <c r="G11" s="217"/>
      <c r="H11" s="40"/>
      <c r="I11" s="40"/>
      <c r="J11" s="40"/>
    </row>
    <row r="12" spans="1:11" ht="16.350000000000001" customHeight="1">
      <c r="A12" s="53"/>
      <c r="B12" s="40"/>
      <c r="C12" s="40"/>
      <c r="E12" s="44" t="s">
        <v>871</v>
      </c>
      <c r="F12" s="217"/>
      <c r="G12" s="217"/>
      <c r="H12" s="40"/>
      <c r="I12" s="40"/>
      <c r="J12" s="40"/>
    </row>
    <row r="13" spans="1:11" ht="49.5">
      <c r="A13" s="164" t="s">
        <v>872</v>
      </c>
      <c r="B13" s="165" t="s">
        <v>873</v>
      </c>
      <c r="C13" s="166" t="s">
        <v>923</v>
      </c>
      <c r="D13" s="165" t="s">
        <v>924</v>
      </c>
      <c r="E13" s="604" t="s">
        <v>876</v>
      </c>
      <c r="F13" s="606" t="s">
        <v>878</v>
      </c>
      <c r="G13" s="605" t="s">
        <v>879</v>
      </c>
      <c r="H13" s="167" t="s">
        <v>861</v>
      </c>
      <c r="I13" s="40"/>
      <c r="J13" s="40" t="s">
        <v>880</v>
      </c>
    </row>
    <row r="14" spans="1:11" ht="16.350000000000001" customHeight="1">
      <c r="A14" s="198" t="s">
        <v>881</v>
      </c>
      <c r="B14" s="59"/>
      <c r="C14" s="60"/>
      <c r="D14" s="59"/>
      <c r="E14" s="89"/>
      <c r="F14" s="59"/>
      <c r="G14" s="89"/>
      <c r="H14" s="325"/>
      <c r="I14" s="40"/>
      <c r="J14" s="40"/>
    </row>
    <row r="15" spans="1:11" ht="16.350000000000001" customHeight="1">
      <c r="A15" s="57" t="s">
        <v>925</v>
      </c>
      <c r="B15" s="57" t="s">
        <v>926</v>
      </c>
      <c r="C15" s="58">
        <v>40000</v>
      </c>
      <c r="D15" s="244"/>
      <c r="E15" s="245" t="s">
        <v>884</v>
      </c>
      <c r="F15" s="326">
        <f>D15*J15</f>
        <v>0</v>
      </c>
      <c r="G15" s="267">
        <f>IF(E15="○",F15,0)</f>
        <v>0</v>
      </c>
      <c r="H15" s="327" t="str">
        <f t="shared" ref="H15:H19" si="0">IF(D15&gt;C15,"利用資源が超過しています","")</f>
        <v/>
      </c>
      <c r="I15" s="40"/>
      <c r="J15" s="328">
        <v>75</v>
      </c>
    </row>
    <row r="16" spans="1:11" ht="16.350000000000001" customHeight="1">
      <c r="A16" s="45" t="s">
        <v>927</v>
      </c>
      <c r="B16" s="45" t="s">
        <v>926</v>
      </c>
      <c r="C16" s="84">
        <v>136000</v>
      </c>
      <c r="D16" s="244"/>
      <c r="E16" s="245" t="s">
        <v>884</v>
      </c>
      <c r="F16" s="273">
        <f t="shared" ref="F16" si="1">D16*J16</f>
        <v>0</v>
      </c>
      <c r="G16" s="272">
        <f t="shared" ref="G16:G19" si="2">IF(E16="○",F16,0)</f>
        <v>0</v>
      </c>
      <c r="H16" s="47" t="str">
        <f t="shared" si="0"/>
        <v/>
      </c>
      <c r="I16" s="40"/>
      <c r="J16" s="328">
        <f>0.0022*10000</f>
        <v>22</v>
      </c>
    </row>
    <row r="17" spans="1:11" ht="16.350000000000001" customHeight="1">
      <c r="A17" s="45" t="s">
        <v>928</v>
      </c>
      <c r="B17" s="45" t="s">
        <v>929</v>
      </c>
      <c r="C17" s="84">
        <v>150</v>
      </c>
      <c r="D17" s="244"/>
      <c r="E17" s="245" t="s">
        <v>884</v>
      </c>
      <c r="F17" s="273">
        <f>D17*J17</f>
        <v>0</v>
      </c>
      <c r="G17" s="273">
        <f t="shared" si="2"/>
        <v>0</v>
      </c>
      <c r="H17" s="47" t="str">
        <f t="shared" si="0"/>
        <v/>
      </c>
      <c r="I17" s="40"/>
      <c r="J17" s="328">
        <f>0.3*10000</f>
        <v>3000</v>
      </c>
    </row>
    <row r="18" spans="1:11" ht="16.350000000000001" customHeight="1">
      <c r="A18" s="45" t="s">
        <v>930</v>
      </c>
      <c r="B18" s="55" t="s">
        <v>931</v>
      </c>
      <c r="C18" s="180">
        <v>30000</v>
      </c>
      <c r="D18" s="244"/>
      <c r="E18" s="245" t="s">
        <v>884</v>
      </c>
      <c r="F18" s="273">
        <f>D18*J18</f>
        <v>0</v>
      </c>
      <c r="G18" s="273">
        <f t="shared" si="2"/>
        <v>0</v>
      </c>
      <c r="H18" s="47" t="str">
        <f t="shared" si="0"/>
        <v/>
      </c>
      <c r="I18" s="40"/>
      <c r="J18" s="329">
        <v>100</v>
      </c>
      <c r="K18" s="28"/>
    </row>
    <row r="19" spans="1:11" ht="16.350000000000001" customHeight="1">
      <c r="A19" s="45" t="s">
        <v>932</v>
      </c>
      <c r="B19" s="45" t="s">
        <v>929</v>
      </c>
      <c r="C19" s="180">
        <v>300</v>
      </c>
      <c r="D19" s="244"/>
      <c r="E19" s="245" t="s">
        <v>884</v>
      </c>
      <c r="F19" s="273">
        <f>D19*J19</f>
        <v>0</v>
      </c>
      <c r="G19" s="273">
        <f t="shared" si="2"/>
        <v>0</v>
      </c>
      <c r="H19" s="47" t="str">
        <f t="shared" si="0"/>
        <v/>
      </c>
      <c r="I19" s="40"/>
      <c r="J19" s="329">
        <v>3000</v>
      </c>
      <c r="K19" s="28"/>
    </row>
    <row r="20" spans="1:11" ht="16.5" customHeight="1">
      <c r="A20" s="199" t="s">
        <v>933</v>
      </c>
      <c r="B20" s="59"/>
      <c r="C20" s="181"/>
      <c r="D20" s="61"/>
      <c r="E20" s="247"/>
      <c r="F20" s="330"/>
      <c r="G20" s="330"/>
      <c r="H20" s="59"/>
      <c r="I20" s="40"/>
      <c r="J20" s="328"/>
    </row>
    <row r="21" spans="1:11" ht="16.350000000000001" customHeight="1">
      <c r="A21" s="45" t="s">
        <v>934</v>
      </c>
      <c r="B21" s="57" t="s">
        <v>935</v>
      </c>
      <c r="C21" s="84"/>
      <c r="D21" s="246"/>
      <c r="E21" s="259" t="s">
        <v>884</v>
      </c>
      <c r="F21" s="331">
        <f>D21*J21</f>
        <v>0</v>
      </c>
      <c r="G21" s="259" t="s">
        <v>884</v>
      </c>
      <c r="H21" s="46"/>
      <c r="I21" s="40"/>
      <c r="J21" s="328">
        <f>0.06*10000</f>
        <v>600</v>
      </c>
    </row>
    <row r="22" spans="1:11" s="183" customFormat="1" ht="33">
      <c r="A22" s="45" t="s">
        <v>936</v>
      </c>
      <c r="B22" s="57" t="s">
        <v>935</v>
      </c>
      <c r="C22" s="182"/>
      <c r="D22" s="246"/>
      <c r="E22" s="259" t="s">
        <v>884</v>
      </c>
      <c r="F22" s="331">
        <f>D22*J22</f>
        <v>0</v>
      </c>
      <c r="G22" s="259" t="s">
        <v>884</v>
      </c>
      <c r="H22" s="57"/>
      <c r="I22" s="94"/>
      <c r="J22" s="332">
        <f>0.12*10000</f>
        <v>1200</v>
      </c>
    </row>
    <row r="23" spans="1:11" ht="16.350000000000001" customHeight="1">
      <c r="A23" s="26"/>
      <c r="B23" s="26"/>
      <c r="C23" s="26"/>
      <c r="D23" s="26"/>
      <c r="E23" s="243" t="s">
        <v>884</v>
      </c>
      <c r="F23" s="26"/>
      <c r="G23" s="26"/>
      <c r="H23" s="26"/>
      <c r="I23" s="26"/>
      <c r="J23" s="26"/>
    </row>
    <row r="24" spans="1:11" ht="16.350000000000001" customHeight="1">
      <c r="A24" s="26"/>
      <c r="B24" s="26"/>
      <c r="C24" s="26"/>
      <c r="D24" s="26"/>
      <c r="E24" s="26"/>
      <c r="F24" s="26"/>
      <c r="G24" s="26"/>
      <c r="H24" s="26"/>
      <c r="I24" s="26"/>
      <c r="J24" s="26"/>
    </row>
    <row r="25" spans="1:11" ht="16.350000000000001" customHeight="1">
      <c r="A25" s="26"/>
      <c r="B25" s="26"/>
      <c r="C25" s="26"/>
      <c r="D25" s="26"/>
      <c r="E25" s="26"/>
      <c r="F25" s="26"/>
      <c r="G25" s="26"/>
      <c r="H25" s="26"/>
      <c r="I25" s="26"/>
      <c r="J25" s="26"/>
    </row>
    <row r="26" spans="1:11" ht="16.350000000000001" customHeight="1">
      <c r="A26" s="26"/>
      <c r="B26" s="26"/>
      <c r="C26" s="26"/>
      <c r="D26" s="26"/>
      <c r="E26" s="26"/>
      <c r="F26" s="26"/>
      <c r="G26" s="26"/>
      <c r="H26" s="26"/>
      <c r="I26" s="26"/>
      <c r="J26" s="26"/>
    </row>
    <row r="27" spans="1:11" ht="16.350000000000001" customHeight="1">
      <c r="A27" s="25"/>
      <c r="B27" s="26"/>
      <c r="C27" s="26"/>
      <c r="D27" s="26"/>
      <c r="E27" s="26"/>
      <c r="F27" s="26"/>
      <c r="G27" s="26"/>
      <c r="H27" s="26"/>
      <c r="I27" s="26"/>
      <c r="J27" s="26"/>
    </row>
    <row r="28" spans="1:11" ht="16.350000000000001" customHeight="1">
      <c r="A28" s="26"/>
      <c r="B28" s="26"/>
      <c r="C28" s="26"/>
      <c r="D28" s="26"/>
      <c r="E28" s="26"/>
      <c r="F28" s="26"/>
      <c r="G28" s="26"/>
      <c r="H28" s="26"/>
      <c r="I28" s="26"/>
      <c r="J28" s="26"/>
    </row>
    <row r="29" spans="1:11" ht="16.350000000000001" customHeight="1">
      <c r="A29" s="26"/>
      <c r="B29" s="26"/>
      <c r="C29" s="26"/>
      <c r="D29" s="26"/>
      <c r="E29" s="26"/>
      <c r="F29" s="26"/>
      <c r="G29" s="26"/>
      <c r="H29" s="26"/>
      <c r="I29" s="26"/>
      <c r="J29" s="26"/>
    </row>
  </sheetData>
  <sheetProtection algorithmName="SHA-512" hashValue="F46yhRvaNrhif4LbmDLPbJzSD7c+UGB0gs6wVNaR3xRW0gqw4LxmaPJBVgpATzK4sRtPwZczPxlbgdxrDSLM6Q==" saltValue="W17WPYTfENgQCvs9KRZOCQ==" spinCount="100000" sheet="1" objects="1" scenarios="1"/>
  <phoneticPr fontId="1"/>
  <conditionalFormatting sqref="B8">
    <cfRule type="expression" dxfId="23" priority="2">
      <formula>B8&gt;#REF!</formula>
    </cfRule>
  </conditionalFormatting>
  <conditionalFormatting sqref="D15:D19">
    <cfRule type="expression" dxfId="22" priority="1" stopIfTrue="1">
      <formula>D15&gt;C15</formula>
    </cfRule>
  </conditionalFormatting>
  <dataValidations count="3">
    <dataValidation type="list" showInputMessage="1" showErrorMessage="1" sqref="E15:E19" xr:uid="{B9161E9A-CA9A-4530-B7D6-A247FC0F13FC}">
      <formula1>"○,　,"</formula1>
    </dataValidation>
    <dataValidation operator="greaterThanOrEqual" allowBlank="1" showInputMessage="1" showErrorMessage="1" sqref="D20" xr:uid="{1C3252F4-ED3D-42DD-B9F9-BE67052D3193}"/>
    <dataValidation type="whole" operator="greaterThanOrEqual" allowBlank="1" showInputMessage="1" showErrorMessage="1" sqref="D21:D22 D15:D19" xr:uid="{BD19A85E-9A62-498E-8FF2-4C07475A7C3D}">
      <formula1>0</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DD273-43C3-8D41-AFAE-DAFCF24C7909}">
  <dimension ref="A1:L27"/>
  <sheetViews>
    <sheetView zoomScale="80" zoomScaleNormal="80" workbookViewId="0">
      <selection activeCell="E3" sqref="E3"/>
    </sheetView>
  </sheetViews>
  <sheetFormatPr defaultColWidth="8.625" defaultRowHeight="17.649999999999999"/>
  <cols>
    <col min="1" max="1" width="51.625" customWidth="1"/>
    <col min="2" max="2" width="21.125" customWidth="1"/>
    <col min="3" max="3" width="21.625" customWidth="1"/>
    <col min="4" max="4" width="23.125" customWidth="1"/>
    <col min="5" max="5" width="12.625" customWidth="1"/>
    <col min="6" max="6" width="21.5" customWidth="1"/>
    <col min="7" max="7" width="22" customWidth="1"/>
    <col min="8" max="8" width="24" customWidth="1"/>
    <col min="9" max="9" width="9" hidden="1" customWidth="1"/>
    <col min="10" max="10" width="0" hidden="1" customWidth="1"/>
    <col min="11" max="11" width="18" hidden="1" customWidth="1"/>
    <col min="12" max="12" width="15.375" hidden="1" customWidth="1"/>
  </cols>
  <sheetData>
    <row r="1" spans="1:11" ht="19.899999999999999">
      <c r="A1" s="62" t="s">
        <v>937</v>
      </c>
      <c r="B1" s="53"/>
      <c r="C1" s="53"/>
      <c r="D1" s="439" t="s">
        <v>36</v>
      </c>
      <c r="E1" s="53"/>
      <c r="F1" s="53"/>
      <c r="G1" s="53"/>
      <c r="H1" s="53"/>
      <c r="I1" s="53"/>
      <c r="K1" s="53"/>
    </row>
    <row r="2" spans="1:11">
      <c r="A2" s="53"/>
      <c r="B2" s="53"/>
      <c r="C2" s="53"/>
      <c r="D2" s="53"/>
      <c r="E2" s="53"/>
      <c r="F2" s="53"/>
      <c r="G2" s="53"/>
      <c r="H2" s="53"/>
      <c r="I2" s="53"/>
      <c r="K2" s="53"/>
    </row>
    <row r="3" spans="1:11">
      <c r="A3" s="53" t="s">
        <v>859</v>
      </c>
      <c r="B3" s="53"/>
      <c r="C3" s="53"/>
      <c r="D3" s="53"/>
      <c r="E3" s="53"/>
      <c r="F3" s="53"/>
      <c r="G3" s="53"/>
      <c r="H3" s="53"/>
      <c r="I3" s="53"/>
      <c r="K3" s="53"/>
    </row>
    <row r="4" spans="1:11">
      <c r="A4" s="52"/>
      <c r="B4" s="50" t="s">
        <v>919</v>
      </c>
      <c r="C4" s="50" t="s">
        <v>861</v>
      </c>
    </row>
    <row r="5" spans="1:11" ht="19.899999999999999">
      <c r="A5" s="51" t="s">
        <v>862</v>
      </c>
      <c r="B5" s="115">
        <f>ROUNDUP(SUM(F15:F21),0)</f>
        <v>0</v>
      </c>
      <c r="C5" s="47"/>
      <c r="K5" s="41"/>
    </row>
    <row r="6" spans="1:11" ht="19.899999999999999">
      <c r="A6" s="601" t="s">
        <v>920</v>
      </c>
      <c r="B6" s="602">
        <f>ROUNDUP(SUM(G15:G21),0)</f>
        <v>0</v>
      </c>
      <c r="C6" s="603"/>
      <c r="D6" s="1" t="s">
        <v>864</v>
      </c>
      <c r="E6" s="28"/>
      <c r="K6" s="41"/>
    </row>
    <row r="7" spans="1:11" ht="19.899999999999999">
      <c r="A7" s="51" t="s">
        <v>865</v>
      </c>
      <c r="B7" s="116">
        <v>0</v>
      </c>
      <c r="C7" s="48"/>
      <c r="I7" s="42" t="s">
        <v>938</v>
      </c>
      <c r="J7" s="42" t="s">
        <v>866</v>
      </c>
    </row>
    <row r="8" spans="1:11" ht="19.899999999999999">
      <c r="A8" s="54" t="s">
        <v>867</v>
      </c>
      <c r="B8" s="86">
        <f>B5+B7</f>
        <v>0</v>
      </c>
      <c r="C8" s="47" t="str">
        <f>IF(B8&gt;$K$8,TEXT($K$8,"#,###")&amp;"円を超過しています/Excessing "&amp;TEXT($K$8,"#,###")&amp;"JPY","")</f>
        <v/>
      </c>
      <c r="F8" s="53" t="str">
        <f>"※1拠点あたりの利用資源料上限額は "&amp;TEXT($K$8,"#,###")&amp;"円"</f>
        <v>※1拠点あたりの利用資源料上限額は 3,000,000円</v>
      </c>
      <c r="G8" s="53"/>
      <c r="I8" s="40"/>
      <c r="K8" s="87">
        <v>3000000</v>
      </c>
    </row>
    <row r="9" spans="1:11">
      <c r="A9" s="46" t="s">
        <v>868</v>
      </c>
      <c r="B9" s="50"/>
      <c r="C9" s="49" t="str">
        <f>IF((COUNTBLANK(C8)+COUNTBLANK(H15:H21))&lt;(1+ROWS(H15:H21)),"資源超過などが発生しています/Problems are present","")</f>
        <v/>
      </c>
      <c r="F9" s="53" t="str">
        <f>"Note: Maximum resource fee per one center is "&amp;TEXT(K8,"#,###")&amp;"JPY"</f>
        <v>Note: Maximum resource fee per one center is 3,000,000JPY</v>
      </c>
      <c r="G9" s="53"/>
    </row>
    <row r="10" spans="1:11">
      <c r="A10" s="26"/>
      <c r="B10" s="26"/>
      <c r="C10" s="26"/>
      <c r="D10" s="26"/>
      <c r="E10" s="26"/>
      <c r="F10" s="26"/>
      <c r="G10" s="26"/>
      <c r="H10" s="26"/>
      <c r="I10" s="26"/>
      <c r="K10" s="26"/>
    </row>
    <row r="11" spans="1:11">
      <c r="A11" s="53" t="s">
        <v>922</v>
      </c>
      <c r="B11" s="40"/>
      <c r="C11" s="40"/>
      <c r="D11" s="44" t="s">
        <v>870</v>
      </c>
      <c r="E11" s="44"/>
      <c r="F11" s="217"/>
      <c r="G11" s="40"/>
      <c r="H11" s="40"/>
      <c r="I11" s="40"/>
      <c r="K11" s="40"/>
    </row>
    <row r="12" spans="1:11">
      <c r="A12" s="53"/>
      <c r="B12" s="40"/>
      <c r="C12" s="40"/>
      <c r="E12" s="44" t="s">
        <v>871</v>
      </c>
      <c r="F12" s="217"/>
      <c r="G12" s="217"/>
      <c r="H12" s="217"/>
      <c r="I12" s="40"/>
      <c r="K12" s="40"/>
    </row>
    <row r="13" spans="1:11" ht="49.5">
      <c r="A13" s="193" t="s">
        <v>872</v>
      </c>
      <c r="B13" s="268" t="s">
        <v>873</v>
      </c>
      <c r="C13" s="268" t="s">
        <v>923</v>
      </c>
      <c r="D13" s="268" t="s">
        <v>939</v>
      </c>
      <c r="E13" s="604" t="s">
        <v>876</v>
      </c>
      <c r="F13" s="606" t="s">
        <v>878</v>
      </c>
      <c r="G13" s="605" t="s">
        <v>879</v>
      </c>
      <c r="H13" s="268" t="s">
        <v>940</v>
      </c>
      <c r="I13" s="40"/>
      <c r="K13" s="40"/>
    </row>
    <row r="14" spans="1:11" ht="33">
      <c r="A14" s="200" t="s">
        <v>941</v>
      </c>
      <c r="B14" s="201"/>
      <c r="C14" s="78"/>
      <c r="D14" s="201"/>
      <c r="E14" s="118"/>
      <c r="F14" s="201"/>
      <c r="G14" s="118"/>
      <c r="H14" s="201"/>
      <c r="I14" s="40"/>
      <c r="K14" s="40"/>
    </row>
    <row r="15" spans="1:11">
      <c r="A15" s="118" t="s">
        <v>942</v>
      </c>
      <c r="B15" s="201" t="s">
        <v>943</v>
      </c>
      <c r="C15" s="204">
        <v>276480</v>
      </c>
      <c r="D15" s="225"/>
      <c r="E15" s="245"/>
      <c r="F15" s="202">
        <f>D15*K15</f>
        <v>0</v>
      </c>
      <c r="G15" s="267">
        <f>IF(E15="○",F15,0)</f>
        <v>0</v>
      </c>
      <c r="H15" s="203" t="str">
        <f t="shared" ref="H15:H21" si="0">IF(D15&gt;C15,"利用資源が超過しています","")</f>
        <v/>
      </c>
      <c r="I15" s="40"/>
      <c r="K15" s="40">
        <f>9/8640*10000</f>
        <v>10.416666666666666</v>
      </c>
    </row>
    <row r="16" spans="1:11" ht="33">
      <c r="A16" s="118" t="s">
        <v>944</v>
      </c>
      <c r="B16" s="201" t="s">
        <v>945</v>
      </c>
      <c r="C16" s="204">
        <v>95040</v>
      </c>
      <c r="D16" s="226"/>
      <c r="E16" s="245" t="s">
        <v>884</v>
      </c>
      <c r="F16" s="206">
        <f>D16*K16</f>
        <v>0</v>
      </c>
      <c r="G16" s="206">
        <f t="shared" ref="G16:G21" si="1">IF(E16="○",F16,0)</f>
        <v>0</v>
      </c>
      <c r="H16" s="203" t="str">
        <f t="shared" si="0"/>
        <v/>
      </c>
      <c r="I16" s="40"/>
      <c r="K16" s="40">
        <f>27/8640*10000</f>
        <v>31.25</v>
      </c>
    </row>
    <row r="17" spans="1:11" ht="33">
      <c r="A17" s="118" t="s">
        <v>946</v>
      </c>
      <c r="B17" s="201" t="s">
        <v>945</v>
      </c>
      <c r="C17" s="204">
        <v>69120</v>
      </c>
      <c r="D17" s="225"/>
      <c r="E17" s="245"/>
      <c r="F17" s="202">
        <f t="shared" ref="F17:F21" si="2">D17*K17</f>
        <v>0</v>
      </c>
      <c r="G17" s="202">
        <f t="shared" si="1"/>
        <v>0</v>
      </c>
      <c r="H17" s="203" t="str">
        <f t="shared" si="0"/>
        <v/>
      </c>
      <c r="I17" s="40"/>
      <c r="K17" s="40">
        <f>36.45/8640*10000</f>
        <v>42.1875</v>
      </c>
    </row>
    <row r="18" spans="1:11" ht="33">
      <c r="A18" s="118" t="s">
        <v>947</v>
      </c>
      <c r="B18" s="201" t="s">
        <v>907</v>
      </c>
      <c r="C18" s="204">
        <v>100</v>
      </c>
      <c r="D18" s="225"/>
      <c r="E18" s="245"/>
      <c r="F18" s="202">
        <f t="shared" si="2"/>
        <v>0</v>
      </c>
      <c r="G18" s="202">
        <f t="shared" si="1"/>
        <v>0</v>
      </c>
      <c r="H18" s="203" t="str">
        <f t="shared" si="0"/>
        <v/>
      </c>
      <c r="I18" s="40"/>
      <c r="K18" s="40">
        <v>6480</v>
      </c>
    </row>
    <row r="19" spans="1:11" ht="33">
      <c r="A19" s="118" t="s">
        <v>948</v>
      </c>
      <c r="B19" s="201" t="s">
        <v>943</v>
      </c>
      <c r="C19" s="204">
        <f>10*24*360</f>
        <v>86400</v>
      </c>
      <c r="D19" s="225"/>
      <c r="E19" s="245"/>
      <c r="F19" s="202">
        <f t="shared" si="2"/>
        <v>0</v>
      </c>
      <c r="G19" s="202">
        <f t="shared" si="1"/>
        <v>0</v>
      </c>
      <c r="H19" s="203" t="str">
        <f t="shared" si="0"/>
        <v/>
      </c>
      <c r="I19" s="40"/>
      <c r="K19" s="40">
        <f>300000/24/360</f>
        <v>34.722222222222221</v>
      </c>
    </row>
    <row r="20" spans="1:11" ht="33">
      <c r="A20" s="118" t="s">
        <v>949</v>
      </c>
      <c r="B20" s="201" t="s">
        <v>943</v>
      </c>
      <c r="C20" s="204">
        <f>12*24*360</f>
        <v>103680</v>
      </c>
      <c r="D20" s="225"/>
      <c r="E20" s="245"/>
      <c r="F20" s="202">
        <f t="shared" si="2"/>
        <v>0</v>
      </c>
      <c r="G20" s="202">
        <f t="shared" si="1"/>
        <v>0</v>
      </c>
      <c r="H20" s="203" t="str">
        <f t="shared" si="0"/>
        <v/>
      </c>
      <c r="I20" s="40"/>
      <c r="K20" s="40">
        <f>240000/24/360</f>
        <v>27.777777777777779</v>
      </c>
    </row>
    <row r="21" spans="1:11" ht="33">
      <c r="A21" s="118" t="s">
        <v>950</v>
      </c>
      <c r="B21" s="201" t="s">
        <v>907</v>
      </c>
      <c r="C21" s="204">
        <v>50</v>
      </c>
      <c r="D21" s="225"/>
      <c r="E21" s="245"/>
      <c r="F21" s="202">
        <f t="shared" si="2"/>
        <v>0</v>
      </c>
      <c r="G21" s="202">
        <f t="shared" si="1"/>
        <v>0</v>
      </c>
      <c r="H21" s="203" t="str">
        <f t="shared" si="0"/>
        <v/>
      </c>
      <c r="I21" s="26"/>
      <c r="K21" s="40">
        <v>6480</v>
      </c>
    </row>
    <row r="22" spans="1:11">
      <c r="A22" s="108"/>
      <c r="B22" s="26"/>
      <c r="C22" s="26"/>
      <c r="D22" s="26"/>
      <c r="E22" s="26"/>
      <c r="F22" s="26"/>
      <c r="G22" s="26"/>
      <c r="H22" s="26"/>
      <c r="I22" s="26"/>
      <c r="K22" s="26"/>
    </row>
    <row r="23" spans="1:11">
      <c r="A23" s="108"/>
      <c r="B23" s="26"/>
      <c r="C23" s="26"/>
      <c r="D23" s="26"/>
      <c r="E23" s="26"/>
      <c r="F23" s="26"/>
      <c r="G23" s="26"/>
      <c r="H23" s="26"/>
      <c r="I23" s="26"/>
      <c r="K23" s="26"/>
    </row>
    <row r="24" spans="1:11">
      <c r="A24" s="26"/>
      <c r="B24" s="26"/>
      <c r="C24" s="26"/>
      <c r="D24" s="26"/>
      <c r="E24" s="26"/>
      <c r="F24" s="26"/>
      <c r="G24" s="26"/>
      <c r="H24" s="26"/>
      <c r="I24" s="26"/>
      <c r="K24" s="26"/>
    </row>
    <row r="25" spans="1:11">
      <c r="A25" s="25"/>
      <c r="B25" s="26"/>
      <c r="C25" s="26"/>
      <c r="D25" s="26"/>
      <c r="E25" s="26"/>
      <c r="F25" s="26"/>
      <c r="G25" s="26"/>
      <c r="H25" s="26"/>
      <c r="I25" s="26"/>
      <c r="K25" s="26"/>
    </row>
    <row r="26" spans="1:11">
      <c r="A26" s="26"/>
      <c r="B26" s="26"/>
      <c r="C26" s="26"/>
      <c r="D26" s="26"/>
      <c r="E26" s="26"/>
      <c r="F26" s="26"/>
      <c r="G26" s="26"/>
      <c r="H26" s="26"/>
      <c r="I26" s="26"/>
      <c r="K26" s="26"/>
    </row>
    <row r="27" spans="1:11">
      <c r="A27" s="26"/>
      <c r="B27" s="26"/>
      <c r="C27" s="26"/>
      <c r="D27" s="26"/>
      <c r="E27" s="26"/>
      <c r="F27" s="26"/>
      <c r="G27" s="26"/>
      <c r="H27" s="26"/>
      <c r="I27" s="26"/>
      <c r="K27" s="26"/>
    </row>
  </sheetData>
  <sheetProtection algorithmName="SHA-512" hashValue="x119AhrieD1RkbFhWU9gcFD8gPrFX727ffdtjDbtkbRjiQyJofQGMPQslFVHUkkmMUD+dFVW/lOaUrJSmcsS5g==" saltValue="xiRpT5sEsE5rQj9rq14dLg==" spinCount="100000" sheet="1" objects="1" scenarios="1"/>
  <phoneticPr fontId="1"/>
  <conditionalFormatting sqref="B8">
    <cfRule type="expression" dxfId="21" priority="2">
      <formula>B8&gt;#REF!</formula>
    </cfRule>
  </conditionalFormatting>
  <conditionalFormatting sqref="D15:D21">
    <cfRule type="expression" dxfId="20" priority="1">
      <formula>D15&gt;C15</formula>
    </cfRule>
  </conditionalFormatting>
  <dataValidations count="2">
    <dataValidation type="whole" operator="greaterThanOrEqual" allowBlank="1" showInputMessage="1" showErrorMessage="1" sqref="D15:D21" xr:uid="{144556CB-4C03-C546-B5BC-09111F47F43E}">
      <formula1>0</formula1>
    </dataValidation>
    <dataValidation type="list" showInputMessage="1" showErrorMessage="1" sqref="E15:E21" xr:uid="{B4E0DF34-281F-5149-A77D-3942A59E900B}">
      <formula1>"○,　,"</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52DA4-7265-1D40-9674-0E19F4B3AD18}">
  <dimension ref="A1:V29"/>
  <sheetViews>
    <sheetView zoomScale="80" zoomScaleNormal="80" workbookViewId="0">
      <selection activeCell="G22" sqref="G22"/>
    </sheetView>
  </sheetViews>
  <sheetFormatPr defaultColWidth="8.875" defaultRowHeight="17.649999999999999"/>
  <cols>
    <col min="1" max="1" width="52.125" customWidth="1"/>
    <col min="2" max="2" width="26.875" customWidth="1"/>
    <col min="3" max="3" width="22.5" customWidth="1"/>
    <col min="4" max="4" width="15.375" customWidth="1"/>
    <col min="5" max="5" width="14.125" customWidth="1"/>
    <col min="6" max="6" width="20.625" customWidth="1"/>
    <col min="7" max="7" width="21.625" customWidth="1"/>
    <col min="8" max="8" width="20.5" customWidth="1"/>
    <col min="9" max="9" width="21.875" customWidth="1"/>
    <col min="10" max="10" width="9" hidden="1" customWidth="1"/>
    <col min="11" max="11" width="12.125" hidden="1" customWidth="1"/>
    <col min="12" max="12" width="11.375" hidden="1" customWidth="1"/>
    <col min="13" max="22" width="8.875" hidden="1" customWidth="1"/>
    <col min="23" max="23" width="0" hidden="1" customWidth="1"/>
  </cols>
  <sheetData>
    <row r="1" spans="1:22" ht="19.899999999999999">
      <c r="A1" s="62" t="s">
        <v>951</v>
      </c>
      <c r="B1" s="53"/>
      <c r="C1" s="53"/>
      <c r="D1" s="439" t="s">
        <v>36</v>
      </c>
      <c r="E1" s="53"/>
      <c r="F1" s="53"/>
      <c r="G1" s="53"/>
      <c r="H1" s="53"/>
      <c r="I1" s="53"/>
      <c r="J1" s="53"/>
      <c r="K1" s="53"/>
      <c r="L1" s="53"/>
    </row>
    <row r="2" spans="1:22">
      <c r="A2" s="53"/>
      <c r="B2" s="53"/>
      <c r="C2" s="53"/>
      <c r="D2" s="53"/>
      <c r="E2" s="53"/>
      <c r="F2" s="53"/>
      <c r="G2" s="53"/>
      <c r="H2" s="53"/>
      <c r="I2" s="53"/>
      <c r="J2" s="53"/>
      <c r="K2" s="53"/>
      <c r="L2" s="53"/>
    </row>
    <row r="3" spans="1:22">
      <c r="A3" s="53" t="s">
        <v>859</v>
      </c>
      <c r="B3" s="53"/>
      <c r="C3" s="53"/>
      <c r="D3" s="53"/>
      <c r="E3" s="53"/>
      <c r="F3" s="53"/>
      <c r="G3" s="53"/>
      <c r="H3" s="53"/>
      <c r="I3" s="53"/>
      <c r="J3" s="53"/>
      <c r="K3" s="53"/>
      <c r="L3" s="53"/>
    </row>
    <row r="4" spans="1:22" ht="38.85" customHeight="1">
      <c r="A4" s="52"/>
      <c r="B4" s="359" t="s">
        <v>952</v>
      </c>
      <c r="C4" s="50" t="s">
        <v>861</v>
      </c>
    </row>
    <row r="5" spans="1:22" ht="19.899999999999999">
      <c r="A5" s="51" t="s">
        <v>862</v>
      </c>
      <c r="B5" s="360">
        <f>ROUNDUP(G17,0)</f>
        <v>0</v>
      </c>
      <c r="C5" s="47"/>
      <c r="J5" s="40"/>
      <c r="K5" s="41"/>
      <c r="L5" s="41"/>
    </row>
    <row r="6" spans="1:22" ht="19.899999999999999">
      <c r="A6" s="601" t="s">
        <v>920</v>
      </c>
      <c r="B6" s="611">
        <f>ROUNDUP(H17,0)</f>
        <v>0</v>
      </c>
      <c r="C6" s="603"/>
      <c r="D6" s="1" t="s">
        <v>864</v>
      </c>
      <c r="E6" s="28"/>
      <c r="J6" s="40"/>
      <c r="K6" s="41"/>
      <c r="L6" s="41"/>
    </row>
    <row r="7" spans="1:22" ht="19.899999999999999">
      <c r="A7" s="361" t="s">
        <v>865</v>
      </c>
      <c r="B7" s="362"/>
      <c r="C7" s="363"/>
      <c r="J7" s="42" t="s">
        <v>866</v>
      </c>
      <c r="K7" s="40"/>
      <c r="L7" s="40"/>
    </row>
    <row r="8" spans="1:22" ht="19.899999999999999">
      <c r="A8" s="54" t="s">
        <v>953</v>
      </c>
      <c r="B8" s="364">
        <f>B5+B7</f>
        <v>0</v>
      </c>
      <c r="C8" s="47" t="str">
        <f>IF(B8&gt;$L$8,TEXT($L$8,"#,###")&amp;"円を超過しています/Excessing "&amp;TEXT($L$8,"#,###")&amp;"JPY","")</f>
        <v/>
      </c>
      <c r="F8" s="53"/>
      <c r="G8" s="53" t="str">
        <f>"※1拠点あたりの利用資源料上限額は "&amp;TEXT($L$8,"#,###")&amp;"円"</f>
        <v>※1拠点あたりの利用資源料上限額は 3,000,000円</v>
      </c>
      <c r="H8" s="53"/>
      <c r="J8" s="40"/>
      <c r="K8" s="365"/>
      <c r="L8" s="87">
        <v>3000000</v>
      </c>
    </row>
    <row r="9" spans="1:22">
      <c r="A9" s="46" t="s">
        <v>954</v>
      </c>
      <c r="B9" s="46"/>
      <c r="C9" s="49" t="str">
        <f>IF((COUNTBLANK(C8)+COUNTBLANK(I17:I28))&lt;(1+ROWS(I17:I28)),"資源超過などが発生しています/Problems are present","")</f>
        <v/>
      </c>
      <c r="G9" s="53" t="str">
        <f>"Note: Maximum resource fee per one center is "&amp;TEXT(L8,"#,###")&amp;"JPY"</f>
        <v>Note: Maximum resource fee per one center is 3,000,000JPY</v>
      </c>
      <c r="H9" s="53"/>
      <c r="J9" s="40"/>
      <c r="K9" s="40"/>
      <c r="L9" s="40"/>
    </row>
    <row r="10" spans="1:22">
      <c r="A10" s="40"/>
      <c r="B10" s="40"/>
      <c r="C10" s="40"/>
      <c r="D10" s="40"/>
      <c r="E10" s="40"/>
      <c r="F10" s="40"/>
      <c r="G10" s="40"/>
      <c r="H10" s="40"/>
      <c r="I10" s="38"/>
      <c r="J10" s="40"/>
      <c r="K10" s="40"/>
      <c r="L10" s="40"/>
    </row>
    <row r="11" spans="1:22">
      <c r="A11" s="53" t="s">
        <v>922</v>
      </c>
      <c r="B11" s="40"/>
      <c r="C11" s="40"/>
      <c r="D11" s="44" t="s">
        <v>870</v>
      </c>
      <c r="E11" s="44"/>
      <c r="F11" s="217"/>
      <c r="G11" s="217"/>
      <c r="H11" s="217"/>
      <c r="I11" s="40"/>
      <c r="J11" s="40"/>
      <c r="K11" s="40"/>
      <c r="L11" s="40"/>
    </row>
    <row r="12" spans="1:22" ht="18" thickBot="1">
      <c r="A12" s="53"/>
      <c r="B12" s="40"/>
      <c r="C12" s="40"/>
      <c r="E12" s="44" t="s">
        <v>871</v>
      </c>
      <c r="F12" s="217"/>
      <c r="G12" s="217"/>
      <c r="H12" s="217"/>
      <c r="I12" s="40"/>
      <c r="J12" s="40"/>
      <c r="K12" s="40"/>
      <c r="L12" s="40"/>
    </row>
    <row r="13" spans="1:22" ht="18" thickBot="1">
      <c r="A13" s="102" t="s">
        <v>872</v>
      </c>
      <c r="B13" s="366"/>
      <c r="C13" s="367"/>
      <c r="D13" s="366"/>
      <c r="E13" s="366"/>
      <c r="F13" s="366"/>
      <c r="G13" s="366"/>
      <c r="H13" s="368"/>
      <c r="I13" s="369"/>
      <c r="J13" s="40"/>
      <c r="K13" s="40" t="s">
        <v>880</v>
      </c>
      <c r="L13" s="40" t="s">
        <v>880</v>
      </c>
    </row>
    <row r="14" spans="1:22" ht="18" thickBot="1">
      <c r="A14" s="677" t="s">
        <v>881</v>
      </c>
      <c r="B14" s="678"/>
      <c r="C14" s="678"/>
      <c r="D14" s="678"/>
      <c r="E14" s="678"/>
      <c r="F14" s="678"/>
      <c r="G14" s="678"/>
      <c r="H14" s="678"/>
      <c r="I14" s="679"/>
      <c r="J14" s="40"/>
      <c r="K14" s="40"/>
      <c r="L14" s="40"/>
    </row>
    <row r="15" spans="1:22" ht="18" thickBot="1">
      <c r="A15" s="370" t="s">
        <v>955</v>
      </c>
      <c r="B15" s="371"/>
      <c r="C15" s="372"/>
      <c r="D15" s="371"/>
      <c r="E15" s="371"/>
      <c r="F15" s="371"/>
      <c r="G15" s="371"/>
      <c r="H15" s="371"/>
      <c r="I15" s="373"/>
      <c r="J15" s="40"/>
      <c r="K15" s="40"/>
      <c r="L15" s="40"/>
    </row>
    <row r="16" spans="1:22" ht="51.6" customHeight="1" thickBot="1">
      <c r="A16" s="374" t="s">
        <v>956</v>
      </c>
      <c r="B16" s="375" t="s">
        <v>957</v>
      </c>
      <c r="C16" s="376" t="s">
        <v>958</v>
      </c>
      <c r="D16" s="377" t="s">
        <v>939</v>
      </c>
      <c r="E16" s="607" t="s">
        <v>876</v>
      </c>
      <c r="F16" s="608" t="s">
        <v>959</v>
      </c>
      <c r="G16" s="609" t="s">
        <v>878</v>
      </c>
      <c r="H16" s="610" t="s">
        <v>879</v>
      </c>
      <c r="I16" s="378" t="s">
        <v>960</v>
      </c>
      <c r="J16" s="40"/>
      <c r="K16" s="40"/>
      <c r="L16" s="379"/>
      <c r="N16" s="380"/>
      <c r="O16" s="380"/>
      <c r="P16" s="380"/>
      <c r="Q16" s="380"/>
      <c r="R16" s="380"/>
      <c r="S16" s="380"/>
      <c r="T16" s="380"/>
      <c r="U16" s="380"/>
      <c r="V16" s="380"/>
    </row>
    <row r="17" spans="1:22" ht="18" thickBot="1">
      <c r="A17" s="381" t="s">
        <v>961</v>
      </c>
      <c r="B17" s="382" t="s">
        <v>962</v>
      </c>
      <c r="C17" s="383">
        <f>ROUNDDOWN(3000000/110000,0)</f>
        <v>27</v>
      </c>
      <c r="D17" s="384" t="s">
        <v>963</v>
      </c>
      <c r="E17" s="269" t="s">
        <v>884</v>
      </c>
      <c r="F17" s="385">
        <f>ROUNDUP(F20+F26,0)</f>
        <v>0</v>
      </c>
      <c r="G17" s="386">
        <f>F17*L17</f>
        <v>0</v>
      </c>
      <c r="H17" s="387">
        <f>IF(E17="○",G17,0)</f>
        <v>0</v>
      </c>
      <c r="I17" s="388" t="str">
        <f>IF(F17&gt;C17,"合算資源が超過しています","")</f>
        <v/>
      </c>
      <c r="J17" s="40"/>
      <c r="K17" s="40">
        <v>1</v>
      </c>
      <c r="L17" s="379">
        <v>110000</v>
      </c>
    </row>
    <row r="18" spans="1:22" ht="18" thickBot="1">
      <c r="A18" s="389" t="s">
        <v>964</v>
      </c>
      <c r="B18" s="390" t="s">
        <v>962</v>
      </c>
      <c r="C18" s="391">
        <f>ROUNDDOWN(3000000/110000,0)</f>
        <v>27</v>
      </c>
      <c r="D18" s="392" t="s">
        <v>963</v>
      </c>
      <c r="E18" s="393"/>
      <c r="F18" s="394">
        <f>ROUNDUP(F20+F26,2)</f>
        <v>0</v>
      </c>
      <c r="G18" s="395">
        <f>F18*L18</f>
        <v>0</v>
      </c>
      <c r="H18" s="396"/>
      <c r="I18" s="397" t="str">
        <f>IF(F18&gt;C18,"合算資源が超過しています","")</f>
        <v/>
      </c>
      <c r="J18" s="40"/>
      <c r="K18" s="40">
        <v>1</v>
      </c>
      <c r="L18" s="379">
        <v>110000</v>
      </c>
    </row>
    <row r="19" spans="1:22" ht="18" thickBot="1">
      <c r="A19" s="680" t="s">
        <v>965</v>
      </c>
      <c r="B19" s="681"/>
      <c r="C19" s="681"/>
      <c r="D19" s="682"/>
      <c r="E19" s="683"/>
      <c r="F19" s="681"/>
      <c r="G19" s="681"/>
      <c r="H19" s="681"/>
      <c r="I19" s="684"/>
      <c r="J19" s="40"/>
      <c r="K19" s="40"/>
      <c r="L19" s="379"/>
      <c r="N19" s="380"/>
      <c r="O19" s="380"/>
      <c r="P19" s="380"/>
      <c r="Q19" s="380"/>
      <c r="R19" s="380"/>
      <c r="S19" s="380"/>
      <c r="T19" s="380"/>
      <c r="U19" s="380"/>
      <c r="V19" s="380"/>
    </row>
    <row r="20" spans="1:22" ht="18" thickBot="1">
      <c r="A20" s="381" t="s">
        <v>966</v>
      </c>
      <c r="B20" s="382" t="s">
        <v>926</v>
      </c>
      <c r="C20" s="398">
        <f>27*400</f>
        <v>10800</v>
      </c>
      <c r="D20" s="399">
        <f>SUM(D21:D24)</f>
        <v>0</v>
      </c>
      <c r="E20" s="400" t="s">
        <v>884</v>
      </c>
      <c r="F20" s="401">
        <f t="shared" ref="F20:G24" si="0">$D20*K20</f>
        <v>0</v>
      </c>
      <c r="G20" s="402">
        <f t="shared" si="0"/>
        <v>0</v>
      </c>
      <c r="H20" s="403" t="s">
        <v>884</v>
      </c>
      <c r="I20" s="404" t="str">
        <f>IF(D20&gt;C20,"計算資源が超過しています","")</f>
        <v/>
      </c>
      <c r="J20" s="40"/>
      <c r="K20" s="40">
        <v>2.5000000000000001E-3</v>
      </c>
      <c r="L20" s="379">
        <f>110000/400</f>
        <v>275</v>
      </c>
    </row>
    <row r="21" spans="1:22" ht="33">
      <c r="A21" s="381" t="s">
        <v>967</v>
      </c>
      <c r="B21" s="382" t="s">
        <v>968</v>
      </c>
      <c r="C21" s="398">
        <f>27*400</f>
        <v>10800</v>
      </c>
      <c r="D21" s="405"/>
      <c r="E21" s="403" t="s">
        <v>884</v>
      </c>
      <c r="F21" s="406">
        <f t="shared" si="0"/>
        <v>0</v>
      </c>
      <c r="G21" s="407">
        <f t="shared" si="0"/>
        <v>0</v>
      </c>
      <c r="H21" s="403" t="s">
        <v>884</v>
      </c>
      <c r="I21" s="408" t="str">
        <f>IF(MOD(D21,400)&gt;0,"Computing resource must be a multiple of 400NH","") &amp; IF(D21&gt;C21,"計算資源が超過しています","")</f>
        <v/>
      </c>
      <c r="J21" s="40"/>
      <c r="K21" s="40">
        <v>2.5000000000000001E-3</v>
      </c>
      <c r="L21" s="379">
        <f>110000/400</f>
        <v>275</v>
      </c>
      <c r="N21" s="409"/>
      <c r="O21" s="410"/>
      <c r="P21" s="410"/>
      <c r="Q21" s="410"/>
      <c r="R21" s="410"/>
      <c r="S21" s="410"/>
      <c r="T21" s="410"/>
      <c r="U21" s="410"/>
      <c r="V21" s="411"/>
    </row>
    <row r="22" spans="1:22" ht="33">
      <c r="A22" s="381" t="s">
        <v>969</v>
      </c>
      <c r="B22" s="382" t="s">
        <v>968</v>
      </c>
      <c r="C22" s="398">
        <f>27*400</f>
        <v>10800</v>
      </c>
      <c r="D22" s="447"/>
      <c r="E22" s="413" t="s">
        <v>884</v>
      </c>
      <c r="F22" s="406">
        <f t="shared" si="0"/>
        <v>0</v>
      </c>
      <c r="G22" s="407">
        <f t="shared" si="0"/>
        <v>0</v>
      </c>
      <c r="H22" s="413" t="s">
        <v>884</v>
      </c>
      <c r="I22" s="408" t="str">
        <f>IF(MOD(D22,400)&gt;0,"Computing resource must be a multiple of 400NH","") &amp; IF(D22&gt;C22,"計算資源が超過しています","")</f>
        <v/>
      </c>
      <c r="J22" s="40"/>
      <c r="K22" s="40">
        <v>2.5000000000000001E-3</v>
      </c>
      <c r="L22" s="379">
        <f>110000/400</f>
        <v>275</v>
      </c>
      <c r="N22" s="414"/>
      <c r="O22" s="380"/>
      <c r="P22" s="380"/>
      <c r="Q22" s="380"/>
      <c r="R22" s="380"/>
      <c r="S22" s="380"/>
      <c r="T22" s="380"/>
      <c r="U22" s="380"/>
      <c r="V22" s="415"/>
    </row>
    <row r="23" spans="1:22" ht="33">
      <c r="A23" s="381" t="s">
        <v>970</v>
      </c>
      <c r="B23" s="382" t="s">
        <v>968</v>
      </c>
      <c r="C23" s="398">
        <f>27*400</f>
        <v>10800</v>
      </c>
      <c r="D23" s="412"/>
      <c r="E23" s="413" t="s">
        <v>884</v>
      </c>
      <c r="F23" s="406">
        <f t="shared" si="0"/>
        <v>0</v>
      </c>
      <c r="G23" s="407">
        <f t="shared" si="0"/>
        <v>0</v>
      </c>
      <c r="H23" s="413" t="s">
        <v>884</v>
      </c>
      <c r="I23" s="408" t="str">
        <f>IF(MOD(D23,400)&gt;0,"Computing resource must be a multiple of 400NH","") &amp; IF(D23&gt;C23,"計算資源が超過しています","")</f>
        <v/>
      </c>
      <c r="J23" s="40"/>
      <c r="K23" s="40">
        <v>2.5000000000000001E-3</v>
      </c>
      <c r="L23" s="379">
        <f>110000/400</f>
        <v>275</v>
      </c>
      <c r="N23" s="414"/>
      <c r="O23" s="380"/>
      <c r="P23" s="380"/>
      <c r="Q23" s="380"/>
      <c r="R23" s="380"/>
      <c r="S23" s="380"/>
      <c r="T23" s="380"/>
      <c r="U23" s="380"/>
      <c r="V23" s="415"/>
    </row>
    <row r="24" spans="1:22" ht="33.4" thickBot="1">
      <c r="A24" s="416" t="s">
        <v>971</v>
      </c>
      <c r="B24" s="382" t="s">
        <v>968</v>
      </c>
      <c r="C24" s="417">
        <f>4*400</f>
        <v>1600</v>
      </c>
      <c r="D24" s="222"/>
      <c r="E24" s="418" t="s">
        <v>884</v>
      </c>
      <c r="F24" s="419">
        <f t="shared" si="0"/>
        <v>0</v>
      </c>
      <c r="G24" s="420">
        <f t="shared" si="0"/>
        <v>0</v>
      </c>
      <c r="H24" s="418" t="s">
        <v>884</v>
      </c>
      <c r="I24" s="408" t="str">
        <f>IF(MOD(D24,400)&gt;0,"Computing resource must be a multiple of 400NH","") &amp; IF(D24&gt;C24,"計算資源が超過しています","")</f>
        <v/>
      </c>
      <c r="J24" s="40"/>
      <c r="K24" s="40">
        <v>2.5000000000000001E-3</v>
      </c>
      <c r="L24" s="379">
        <f>110000/400</f>
        <v>275</v>
      </c>
      <c r="N24" s="421"/>
      <c r="O24" s="422"/>
      <c r="P24" s="422"/>
      <c r="Q24" s="422"/>
      <c r="R24" s="422"/>
      <c r="S24" s="422"/>
      <c r="T24" s="422"/>
      <c r="U24" s="422"/>
      <c r="V24" s="423"/>
    </row>
    <row r="25" spans="1:22" ht="18" thickBot="1">
      <c r="A25" s="680" t="s">
        <v>972</v>
      </c>
      <c r="B25" s="681"/>
      <c r="C25" s="681"/>
      <c r="D25" s="682"/>
      <c r="E25" s="682"/>
      <c r="F25" s="681"/>
      <c r="G25" s="681"/>
      <c r="H25" s="681"/>
      <c r="I25" s="684"/>
      <c r="J25" s="40"/>
      <c r="K25" s="40"/>
      <c r="L25" s="379"/>
      <c r="N25" s="380"/>
      <c r="O25" s="380"/>
      <c r="P25" s="380"/>
      <c r="Q25" s="380"/>
      <c r="R25" s="380"/>
      <c r="S25" s="380"/>
      <c r="T25" s="380"/>
      <c r="U25" s="380"/>
      <c r="V25" s="380"/>
    </row>
    <row r="26" spans="1:22" ht="18" thickBot="1">
      <c r="A26" s="381" t="s">
        <v>973</v>
      </c>
      <c r="B26" s="382" t="s">
        <v>907</v>
      </c>
      <c r="C26" s="424">
        <v>103</v>
      </c>
      <c r="D26" s="425">
        <f>D27+D28/1000</f>
        <v>0</v>
      </c>
      <c r="E26" s="426" t="s">
        <v>884</v>
      </c>
      <c r="F26" s="401">
        <f>SUM(F27:F28)</f>
        <v>0</v>
      </c>
      <c r="G26" s="402">
        <f>SUM(G27:G28)</f>
        <v>0</v>
      </c>
      <c r="H26" s="662" t="s">
        <v>884</v>
      </c>
      <c r="I26" s="404" t="str">
        <f>IF(D26&gt;C26,"ストレージ容量が超過しています","")</f>
        <v/>
      </c>
      <c r="J26" s="40"/>
      <c r="K26" s="40"/>
      <c r="L26" s="379"/>
    </row>
    <row r="27" spans="1:22" ht="33">
      <c r="A27" s="427" t="s">
        <v>974</v>
      </c>
      <c r="B27" s="89" t="s">
        <v>907</v>
      </c>
      <c r="C27" s="56">
        <v>100</v>
      </c>
      <c r="D27" s="428"/>
      <c r="E27" s="429" t="s">
        <v>884</v>
      </c>
      <c r="F27" s="430">
        <f>$D27*K27</f>
        <v>0</v>
      </c>
      <c r="G27" s="431">
        <f>$D27*L27</f>
        <v>0</v>
      </c>
      <c r="H27" s="663" t="s">
        <v>884</v>
      </c>
      <c r="I27" s="432" t="str">
        <f>IF(D27&gt;C27,"ストレージ容量が超過しています","")</f>
        <v/>
      </c>
      <c r="J27" s="40"/>
      <c r="K27" s="40">
        <f>6*0.0025</f>
        <v>1.4999999999999999E-2</v>
      </c>
      <c r="L27" s="379">
        <f>6*110000/400</f>
        <v>1650</v>
      </c>
    </row>
    <row r="28" spans="1:22" ht="65.849999999999994" customHeight="1" thickBot="1">
      <c r="A28" s="389" t="s">
        <v>975</v>
      </c>
      <c r="B28" s="390" t="s">
        <v>976</v>
      </c>
      <c r="C28" s="98">
        <v>3000</v>
      </c>
      <c r="D28" s="222"/>
      <c r="E28" s="433" t="s">
        <v>884</v>
      </c>
      <c r="F28" s="419">
        <f>$D28*K28</f>
        <v>0</v>
      </c>
      <c r="G28" s="420">
        <f>$D28*L28</f>
        <v>0</v>
      </c>
      <c r="H28" s="433" t="s">
        <v>884</v>
      </c>
      <c r="I28" s="434" t="str">
        <f>IF(MOD(D28,100)&gt;0,"Storage capacity must be a multiple of 100GB","") &amp; IF(D28&gt;C28,"ストレージ容量が超過しています","")</f>
        <v/>
      </c>
      <c r="J28" s="40"/>
      <c r="K28" s="40">
        <f>24*0.0025/1000</f>
        <v>5.9999999999999995E-5</v>
      </c>
      <c r="L28" s="379">
        <f>24*110000/400/1000</f>
        <v>6.6</v>
      </c>
    </row>
    <row r="29" spans="1:22">
      <c r="A29" s="435" t="s">
        <v>977</v>
      </c>
    </row>
  </sheetData>
  <sheetProtection algorithmName="SHA-512" hashValue="R1EGVvaW/UlqWbVBEUnPbIWMAMjOzEPM8aBV2FuEuCglTo2iPfpOJ4ltBcoFzL7p8Tqw/lJd3ENtAkwBnr8sNA==" saltValue="wAAPn9XujOetgrT0P6LOAA==" spinCount="100000" sheet="1" objects="1" scenarios="1"/>
  <mergeCells count="3">
    <mergeCell ref="A14:I14"/>
    <mergeCell ref="A19:I19"/>
    <mergeCell ref="A25:I25"/>
  </mergeCells>
  <phoneticPr fontId="1"/>
  <conditionalFormatting sqref="B8">
    <cfRule type="expression" dxfId="19" priority="11">
      <formula>B8&gt;#REF!</formula>
    </cfRule>
  </conditionalFormatting>
  <conditionalFormatting sqref="D20">
    <cfRule type="expression" dxfId="18" priority="9">
      <formula>$D$20&gt;$C$20</formula>
    </cfRule>
  </conditionalFormatting>
  <conditionalFormatting sqref="D26">
    <cfRule type="expression" dxfId="17" priority="8">
      <formula>$D$26&gt;$C$26</formula>
    </cfRule>
  </conditionalFormatting>
  <conditionalFormatting sqref="D27:D28">
    <cfRule type="expression" dxfId="16" priority="3">
      <formula>D27&gt;C27</formula>
    </cfRule>
  </conditionalFormatting>
  <conditionalFormatting sqref="D20:E24">
    <cfRule type="expression" dxfId="15" priority="6">
      <formula>D20&gt;C20</formula>
    </cfRule>
  </conditionalFormatting>
  <conditionalFormatting sqref="E26:E28">
    <cfRule type="expression" dxfId="14" priority="1">
      <formula>E26&gt;D26</formula>
    </cfRule>
  </conditionalFormatting>
  <conditionalFormatting sqref="F17">
    <cfRule type="expression" dxfId="13" priority="10">
      <formula>$C$17&lt;$F$17</formula>
    </cfRule>
  </conditionalFormatting>
  <conditionalFormatting sqref="F18">
    <cfRule type="expression" dxfId="12" priority="7">
      <formula>F18&gt;C18</formula>
    </cfRule>
  </conditionalFormatting>
  <conditionalFormatting sqref="H20:H24">
    <cfRule type="expression" dxfId="11" priority="5">
      <formula>H20&gt;G20</formula>
    </cfRule>
  </conditionalFormatting>
  <conditionalFormatting sqref="H26:H28">
    <cfRule type="expression" dxfId="10" priority="2">
      <formula>H26&gt;G26</formula>
    </cfRule>
  </conditionalFormatting>
  <dataValidations count="3">
    <dataValidation type="whole" operator="greaterThanOrEqual" allowBlank="1" showInputMessage="1" showErrorMessage="1" sqref="D27:D28 D21 D23:D24" xr:uid="{E9B38FB6-57EE-B44A-A856-106B060E71DB}">
      <formula1>0</formula1>
    </dataValidation>
    <dataValidation showInputMessage="1" showErrorMessage="1" sqref="E20:E24 H20:H24 E26:E28 H26:H28" xr:uid="{DCB06CA8-4F3D-F14B-9C9B-9A6C5EAF03EF}"/>
    <dataValidation type="list" showInputMessage="1" showErrorMessage="1" sqref="E17" xr:uid="{FD0E7360-90DB-DA49-816B-91F1527003EB}">
      <formula1>"○,　,"</formula1>
    </dataValidation>
  </dataValidations>
  <pageMargins left="0.7" right="0.7" top="0.75" bottom="0.75" header="0.3" footer="0.3"/>
  <pageSetup paperSize="9" orientation="portrait" horizontalDpi="4294967293"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95545a2-f9e0-467c-b11a-3c1134bf2da7">
      <Terms xmlns="http://schemas.microsoft.com/office/infopath/2007/PartnerControls"/>
    </lcf76f155ced4ddcb4097134ff3c332f>
    <TaxCatchAll xmlns="5132066a-7296-4474-9451-513c1e01db7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5A971AC431476B4F9AB24AB0DBCB4F6E" ma:contentTypeVersion="18" ma:contentTypeDescription="新しいドキュメントを作成します。" ma:contentTypeScope="" ma:versionID="600ff738dd3ce701fb44372391840ea8">
  <xsd:schema xmlns:xsd="http://www.w3.org/2001/XMLSchema" xmlns:xs="http://www.w3.org/2001/XMLSchema" xmlns:p="http://schemas.microsoft.com/office/2006/metadata/properties" xmlns:ns2="d95545a2-f9e0-467c-b11a-3c1134bf2da7" xmlns:ns3="5132066a-7296-4474-9451-513c1e01db7b" targetNamespace="http://schemas.microsoft.com/office/2006/metadata/properties" ma:root="true" ma:fieldsID="0ad1664d12a92f3d9b82532eba2e3b6a" ns2:_="" ns3:_="">
    <xsd:import namespace="d95545a2-f9e0-467c-b11a-3c1134bf2da7"/>
    <xsd:import namespace="5132066a-7296-4474-9451-513c1e01db7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5545a2-f9e0-467c-b11a-3c1134bf2d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43c67a92-a372-452b-99e4-c34048beba6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132066a-7296-4474-9451-513c1e01db7b" elementFormDefault="qualified">
    <xsd:import namespace="http://schemas.microsoft.com/office/2006/documentManagement/types"/>
    <xsd:import namespace="http://schemas.microsoft.com/office/infopath/2007/PartnerControls"/>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439fede0-79bd-41cb-932e-78f7b0c2ef59}" ma:internalName="TaxCatchAll" ma:showField="CatchAllData" ma:web="5132066a-7296-4474-9451-513c1e01db7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6FDEE0-5978-43E0-805D-6750E816C017}">
  <ds:schemaRefs>
    <ds:schemaRef ds:uri="http://schemas.microsoft.com/sharepoint/v3/contenttype/forms"/>
  </ds:schemaRefs>
</ds:datastoreItem>
</file>

<file path=customXml/itemProps2.xml><?xml version="1.0" encoding="utf-8"?>
<ds:datastoreItem xmlns:ds="http://schemas.openxmlformats.org/officeDocument/2006/customXml" ds:itemID="{E8C8356E-2DFB-4371-A75A-1C887E0C95EC}">
  <ds:schemaRefs>
    <ds:schemaRef ds:uri="5132066a-7296-4474-9451-513c1e01db7b"/>
    <ds:schemaRef ds:uri="d95545a2-f9e0-467c-b11a-3c1134bf2da7"/>
    <ds:schemaRef ds:uri="http://purl.org/dc/dcmitype/"/>
    <ds:schemaRef ds:uri="http://schemas.microsoft.com/office/infopath/2007/PartnerControls"/>
    <ds:schemaRef ds:uri="http://schemas.microsoft.com/office/2006/metadata/properties"/>
    <ds:schemaRef ds:uri="http://schemas.openxmlformats.org/package/2006/metadata/core-properties"/>
    <ds:schemaRef ds:uri="http://schemas.microsoft.com/office/2006/documentManagement/types"/>
    <ds:schemaRef ds:uri="http://www.w3.org/XML/1998/namespace"/>
    <ds:schemaRef ds:uri="http://purl.org/dc/terms/"/>
    <ds:schemaRef ds:uri="http://purl.org/dc/elements/1.1/"/>
  </ds:schemaRefs>
</ds:datastoreItem>
</file>

<file path=customXml/itemProps3.xml><?xml version="1.0" encoding="utf-8"?>
<ds:datastoreItem xmlns:ds="http://schemas.openxmlformats.org/officeDocument/2006/customXml" ds:itemID="{9E7F0AD0-755F-4C07-802B-844B4697192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255</vt:i4>
      </vt:variant>
    </vt:vector>
  </HeadingPairs>
  <TitlesOfParts>
    <vt:vector size="273" baseType="lpstr">
      <vt:lpstr>修正履歴</vt:lpstr>
      <vt:lpstr>Revision History</vt:lpstr>
      <vt:lpstr>Note(JP only)</vt:lpstr>
      <vt:lpstr>Project</vt:lpstr>
      <vt:lpstr>Researcher</vt:lpstr>
      <vt:lpstr>Hokkaido</vt:lpstr>
      <vt:lpstr>Tohoku</vt:lpstr>
      <vt:lpstr>Tokyo</vt:lpstr>
      <vt:lpstr>Science_Tokyo</vt:lpstr>
      <vt:lpstr>Nagoya</vt:lpstr>
      <vt:lpstr>Osaka</vt:lpstr>
      <vt:lpstr>Kyoto</vt:lpstr>
      <vt:lpstr>Kyushu</vt:lpstr>
      <vt:lpstr>mdx</vt:lpstr>
      <vt:lpstr>Project (Sample-J)</vt:lpstr>
      <vt:lpstr>Project (Sample-E)</vt:lpstr>
      <vt:lpstr>Researcher (Sample-J)</vt:lpstr>
      <vt:lpstr>Researcher (Sample-E)</vt:lpstr>
      <vt:lpstr>'Project (Sample-E)'!小区分01_思想_芸術およびその関連分野</vt:lpstr>
      <vt:lpstr>'Project (Sample-J)'!小区分01_思想_芸術およびその関連分野</vt:lpstr>
      <vt:lpstr>小区分01_思想_芸術およびその関連分野</vt:lpstr>
      <vt:lpstr>'Project (Sample-E)'!小区分60010_情報学基礎論関連_Fundamentals_of_Informatics</vt:lpstr>
      <vt:lpstr>'Project (Sample-J)'!小区分60010_情報学基礎論関連_Fundamentals_of_Informatics</vt:lpstr>
      <vt:lpstr>小区分60010_情報学基礎論関連_Fundamentals_of_Informatics</vt:lpstr>
      <vt:lpstr>'Project (Sample-E)'!小区分60020_数理情報学関連_Mathematical_Informatics</vt:lpstr>
      <vt:lpstr>'Project (Sample-J)'!小区分60020_数理情報学関連_Mathematical_Informatics</vt:lpstr>
      <vt:lpstr>小区分60020_数理情報学関連_Mathematical_Informatics</vt:lpstr>
      <vt:lpstr>'Project (Sample-E)'!小区分60030_統計科学関連_Statistical_Science</vt:lpstr>
      <vt:lpstr>'Project (Sample-J)'!小区分60030_統計科学関連_Statistical_Science</vt:lpstr>
      <vt:lpstr>小区分60030_統計科学関連_Statistical_Science</vt:lpstr>
      <vt:lpstr>'Project (Sample-E)'!小区分60040_計算機システム関連_Computer_Systems</vt:lpstr>
      <vt:lpstr>'Project (Sample-J)'!小区分60040_計算機システム関連_Computer_Systems</vt:lpstr>
      <vt:lpstr>小区分60040_計算機システム関連_Computer_Systems</vt:lpstr>
      <vt:lpstr>'Project (Sample-E)'!小区分60050_ソフトウェア関連_Software</vt:lpstr>
      <vt:lpstr>'Project (Sample-J)'!小区分60050_ソフトウェア関連_Software</vt:lpstr>
      <vt:lpstr>小区分60050_ソフトウェア関連_Software</vt:lpstr>
      <vt:lpstr>'Project (Sample-E)'!小区分60060_情報ネットワーク関連_Information_Networking</vt:lpstr>
      <vt:lpstr>'Project (Sample-J)'!小区分60060_情報ネットワーク関連_Information_Networking</vt:lpstr>
      <vt:lpstr>小区分60060_情報ネットワーク関連_Information_Networking</vt:lpstr>
      <vt:lpstr>'Project (Sample-E)'!小区分60070_情報セキュリティ関連_Information_Security</vt:lpstr>
      <vt:lpstr>'Project (Sample-J)'!小区分60070_情報セキュリティ関連_Information_Security</vt:lpstr>
      <vt:lpstr>小区分60070_情報セキュリティ関連_Information_Security</vt:lpstr>
      <vt:lpstr>'Project (Sample-E)'!小区分60080_データベース関連_Database</vt:lpstr>
      <vt:lpstr>'Project (Sample-J)'!小区分60080_データベース関連_Database</vt:lpstr>
      <vt:lpstr>小区分60080_データベース関連_Database</vt:lpstr>
      <vt:lpstr>'Project (Sample-E)'!小区分60090_高性能計算関連_High_Performance_Computing</vt:lpstr>
      <vt:lpstr>'Project (Sample-J)'!小区分60090_高性能計算関連_High_Performance_Computing</vt:lpstr>
      <vt:lpstr>小区分60090_高性能計算関連_High_Performance_Computing</vt:lpstr>
      <vt:lpstr>'Project (Sample-E)'!小区分60100_計算科学関連_Computational_Science</vt:lpstr>
      <vt:lpstr>'Project (Sample-J)'!小区分60100_計算科学関連_Computational_Science</vt:lpstr>
      <vt:lpstr>小区分60100_計算科学関連_Computational_Science</vt:lpstr>
      <vt:lpstr>'Project (Sample-E)'!小区分61010_知覚情報処理関連_Perceptual_Information_Processing</vt:lpstr>
      <vt:lpstr>'Project (Sample-J)'!小区分61010_知覚情報処理関連_Perceptual_Information_Processing</vt:lpstr>
      <vt:lpstr>小区分61010_知覚情報処理関連_Perceptual_Information_Processing</vt:lpstr>
      <vt:lpstr>'Project (Sample-E)'!小区分61020_ヒューマンインタフェースおよびインタラクション関連_Human_Interface_and_Interaction</vt:lpstr>
      <vt:lpstr>'Project (Sample-J)'!小区分61020_ヒューマンインタフェースおよびインタラクション関連_Human_Interface_and_Interaction</vt:lpstr>
      <vt:lpstr>小区分61020_ヒューマンインタフェースおよびインタラクション関連_Human_Interface_and_Interaction</vt:lpstr>
      <vt:lpstr>'Project (Sample-E)'!小区分61030_知能情報学関連_Intelligent_Informatics</vt:lpstr>
      <vt:lpstr>'Project (Sample-J)'!小区分61030_知能情報学関連_Intelligent_Informatics</vt:lpstr>
      <vt:lpstr>小区分61030_知能情報学関連_Intelligent_Informatics</vt:lpstr>
      <vt:lpstr>'Project (Sample-E)'!小区分61040_ソフトコンピューティング関連_Soft_Computing</vt:lpstr>
      <vt:lpstr>'Project (Sample-J)'!小区分61040_ソフトコンピューティング関連_Soft_Computing</vt:lpstr>
      <vt:lpstr>小区分61040_ソフトコンピューティング関連_Soft_Computing</vt:lpstr>
      <vt:lpstr>'Project (Sample-E)'!小区分61050_知能ロボティクス関連_Intelligent_Robotics</vt:lpstr>
      <vt:lpstr>'Project (Sample-J)'!小区分61050_知能ロボティクス関連_Intelligent_Robotics</vt:lpstr>
      <vt:lpstr>小区分61050_知能ロボティクス関連_Intelligent_Robotics</vt:lpstr>
      <vt:lpstr>'Project (Sample-E)'!小区分61060_感性情報学関連_Sensory_Informatics</vt:lpstr>
      <vt:lpstr>'Project (Sample-J)'!小区分61060_感性情報学関連_Sensory_Informatics</vt:lpstr>
      <vt:lpstr>小区分61060_感性情報学関連_Sensory_Informatics</vt:lpstr>
      <vt:lpstr>'Project (Sample-E)'!小区分90010_デザイン学関連_Design_Science</vt:lpstr>
      <vt:lpstr>'Project (Sample-J)'!小区分90010_デザイン学関連_Design_Science</vt:lpstr>
      <vt:lpstr>小区分90010_デザイン学関連_Design_Science</vt:lpstr>
      <vt:lpstr>'Project (Sample-E)'!小区分90030_認知科学関連_Cognitive_Science</vt:lpstr>
      <vt:lpstr>'Project (Sample-J)'!小区分90030_認知科学関連_Cognitive_Science</vt:lpstr>
      <vt:lpstr>小区分90030_認知科学関連_Cognitive_Science</vt:lpstr>
      <vt:lpstr>'Project (Sample-E)'!情報ネットワーク関連</vt:lpstr>
      <vt:lpstr>'Project (Sample-J)'!情報ネットワーク関連</vt:lpstr>
      <vt:lpstr>情報ネットワーク関連</vt:lpstr>
      <vt:lpstr>'Project (Sample-E)'!情報学基礎論</vt:lpstr>
      <vt:lpstr>'Project (Sample-J)'!情報学基礎論</vt:lpstr>
      <vt:lpstr>情報学基礎論</vt:lpstr>
      <vt:lpstr>'Project (Sample-E)'!情報分野小区分</vt:lpstr>
      <vt:lpstr>'Project (Sample-J)'!情報分野小区分</vt:lpstr>
      <vt:lpstr>情報分野小区分</vt:lpstr>
      <vt:lpstr>'Project (Sample-E)'!中区分01_思想_芸術およびその関連分野</vt:lpstr>
      <vt:lpstr>'Project (Sample-J)'!中区分01_思想_芸術およびその関連分野</vt:lpstr>
      <vt:lpstr>中区分01_思想_芸術およびその関連分野</vt:lpstr>
      <vt:lpstr>'Project (Sample-E)'!中区分02_文学_言語学およびその関連分野</vt:lpstr>
      <vt:lpstr>'Project (Sample-J)'!中区分02_文学_言語学およびその関連分野</vt:lpstr>
      <vt:lpstr>中区分02_文学_言語学およびその関連分野</vt:lpstr>
      <vt:lpstr>'Project (Sample-E)'!中区分03_歴史学_考古学_博物館学およびその関連分野</vt:lpstr>
      <vt:lpstr>'Project (Sample-J)'!中区分03_歴史学_考古学_博物館学およびその関連分野</vt:lpstr>
      <vt:lpstr>中区分03_歴史学_考古学_博物館学およびその関連分野</vt:lpstr>
      <vt:lpstr>'Project (Sample-E)'!中区分04_地理学_文化人類学_民俗学およびその関連分野</vt:lpstr>
      <vt:lpstr>'Project (Sample-J)'!中区分04_地理学_文化人類学_民俗学およびその関連分野</vt:lpstr>
      <vt:lpstr>中区分04_地理学_文化人類学_民俗学およびその関連分野</vt:lpstr>
      <vt:lpstr>'Project (Sample-E)'!中区分05_法学およびその関連分野</vt:lpstr>
      <vt:lpstr>'Project (Sample-J)'!中区分05_法学およびその関連分野</vt:lpstr>
      <vt:lpstr>中区分05_法学およびその関連分野</vt:lpstr>
      <vt:lpstr>'Project (Sample-E)'!中区分06_政治学およびその関連分野</vt:lpstr>
      <vt:lpstr>'Project (Sample-J)'!中区分06_政治学およびその関連分野</vt:lpstr>
      <vt:lpstr>中区分06_政治学およびその関連分野</vt:lpstr>
      <vt:lpstr>'Project (Sample-E)'!中区分07_経済学_経営学およびその関連分野</vt:lpstr>
      <vt:lpstr>'Project (Sample-J)'!中区分07_経済学_経営学およびその関連分野</vt:lpstr>
      <vt:lpstr>中区分07_経済学_経営学およびその関連分野</vt:lpstr>
      <vt:lpstr>'Project (Sample-E)'!中区分08_社会学およびその関連分野</vt:lpstr>
      <vt:lpstr>'Project (Sample-J)'!中区分08_社会学およびその関連分野</vt:lpstr>
      <vt:lpstr>中区分08_社会学およびその関連分野</vt:lpstr>
      <vt:lpstr>'Project (Sample-E)'!中区分09_教育学およびその関連分野</vt:lpstr>
      <vt:lpstr>'Project (Sample-J)'!中区分09_教育学およびその関連分野</vt:lpstr>
      <vt:lpstr>中区分09_教育学およびその関連分野</vt:lpstr>
      <vt:lpstr>'Project (Sample-E)'!中区分10_心理学およびその関連分野</vt:lpstr>
      <vt:lpstr>'Project (Sample-J)'!中区分10_心理学およびその関連分野</vt:lpstr>
      <vt:lpstr>中区分10_心理学およびその関連分野</vt:lpstr>
      <vt:lpstr>'Project (Sample-E)'!中区分11_代数学_幾何学およびその関連分野</vt:lpstr>
      <vt:lpstr>'Project (Sample-J)'!中区分11_代数学_幾何学およびその関連分野</vt:lpstr>
      <vt:lpstr>中区分11_代数学_幾何学およびその関連分野</vt:lpstr>
      <vt:lpstr>'Project (Sample-E)'!中区分12_解析学_応用数学およびその関連分野</vt:lpstr>
      <vt:lpstr>'Project (Sample-J)'!中区分12_解析学_応用数学およびその関連分野</vt:lpstr>
      <vt:lpstr>中区分12_解析学_応用数学およびその関連分野</vt:lpstr>
      <vt:lpstr>'Project (Sample-E)'!中区分13_物性物理学およびその関連分野</vt:lpstr>
      <vt:lpstr>'Project (Sample-J)'!中区分13_物性物理学およびその関連分野</vt:lpstr>
      <vt:lpstr>中区分13_物性物理学およびその関連分野</vt:lpstr>
      <vt:lpstr>'Project (Sample-E)'!中区分14_プラズマ学およびその関連分野</vt:lpstr>
      <vt:lpstr>'Project (Sample-J)'!中区分14_プラズマ学およびその関連分野</vt:lpstr>
      <vt:lpstr>中区分14_プラズマ学およびその関連分野</vt:lpstr>
      <vt:lpstr>'Project (Sample-E)'!中区分15_素粒子_原子核_宇宙物理学およびその関連分野</vt:lpstr>
      <vt:lpstr>'Project (Sample-J)'!中区分15_素粒子_原子核_宇宙物理学およびその関連分野</vt:lpstr>
      <vt:lpstr>中区分15_素粒子_原子核_宇宙物理学およびその関連分野</vt:lpstr>
      <vt:lpstr>'Project (Sample-E)'!中区分16_天文学およびその関連分野</vt:lpstr>
      <vt:lpstr>'Project (Sample-J)'!中区分16_天文学およびその関連分野</vt:lpstr>
      <vt:lpstr>中区分16_天文学およびその関連分野</vt:lpstr>
      <vt:lpstr>'Project (Sample-E)'!中区分17_地球惑星科学およびその関連分野</vt:lpstr>
      <vt:lpstr>'Project (Sample-J)'!中区分17_地球惑星科学およびその関連分野</vt:lpstr>
      <vt:lpstr>中区分17_地球惑星科学およびその関連分野</vt:lpstr>
      <vt:lpstr>'Project (Sample-E)'!中区分18_材料力学_生産工学_設計工学およびその関連分野</vt:lpstr>
      <vt:lpstr>'Project (Sample-J)'!中区分18_材料力学_生産工学_設計工学およびその関連分野</vt:lpstr>
      <vt:lpstr>中区分18_材料力学_生産工学_設計工学およびその関連分野</vt:lpstr>
      <vt:lpstr>'Project (Sample-E)'!中区分19_流体工学_熱工学およびその関連分野</vt:lpstr>
      <vt:lpstr>'Project (Sample-J)'!中区分19_流体工学_熱工学およびその関連分野</vt:lpstr>
      <vt:lpstr>中区分19_流体工学_熱工学およびその関連分野</vt:lpstr>
      <vt:lpstr>'Project (Sample-E)'!中区分20_機械力学_ロボティクスおよびその関連分野</vt:lpstr>
      <vt:lpstr>'Project (Sample-J)'!中区分20_機械力学_ロボティクスおよびその関連分野</vt:lpstr>
      <vt:lpstr>中区分20_機械力学_ロボティクスおよびその関連分野</vt:lpstr>
      <vt:lpstr>'Project (Sample-E)'!中区分21_電気電子工学およびその関連分野</vt:lpstr>
      <vt:lpstr>'Project (Sample-J)'!中区分21_電気電子工学およびその関連分野</vt:lpstr>
      <vt:lpstr>中区分21_電気電子工学およびその関連分野</vt:lpstr>
      <vt:lpstr>'Project (Sample-E)'!中区分22_土木工学およびその関連分野</vt:lpstr>
      <vt:lpstr>'Project (Sample-J)'!中区分22_土木工学およびその関連分野</vt:lpstr>
      <vt:lpstr>中区分22_土木工学およびその関連分野</vt:lpstr>
      <vt:lpstr>'Project (Sample-E)'!中区分23_建築学およびその関連分野</vt:lpstr>
      <vt:lpstr>'Project (Sample-J)'!中区分23_建築学およびその関連分野</vt:lpstr>
      <vt:lpstr>中区分23_建築学およびその関連分野</vt:lpstr>
      <vt:lpstr>'Project (Sample-E)'!中区分24_航空宇宙工学_船舶海洋工学およびその関連分野</vt:lpstr>
      <vt:lpstr>'Project (Sample-J)'!中区分24_航空宇宙工学_船舶海洋工学およびその関連分野</vt:lpstr>
      <vt:lpstr>中区分24_航空宇宙工学_船舶海洋工学およびその関連分野</vt:lpstr>
      <vt:lpstr>'Project (Sample-E)'!中区分25_社会システム工学_安全工学_防災工学およびその関連分野</vt:lpstr>
      <vt:lpstr>'Project (Sample-J)'!中区分25_社会システム工学_安全工学_防災工学およびその関連分野</vt:lpstr>
      <vt:lpstr>中区分25_社会システム工学_安全工学_防災工学およびその関連分野</vt:lpstr>
      <vt:lpstr>'Project (Sample-E)'!中区分26_材料工学およびその関連分野</vt:lpstr>
      <vt:lpstr>'Project (Sample-J)'!中区分26_材料工学およびその関連分野</vt:lpstr>
      <vt:lpstr>中区分26_材料工学およびその関連分野</vt:lpstr>
      <vt:lpstr>'Project (Sample-E)'!中区分27_化学工学およびその関連分野</vt:lpstr>
      <vt:lpstr>'Project (Sample-J)'!中区分27_化学工学およびその関連分野</vt:lpstr>
      <vt:lpstr>中区分27_化学工学およびその関連分野</vt:lpstr>
      <vt:lpstr>'Project (Sample-E)'!中区分28_ナノマイクロ科学およびその関連分野</vt:lpstr>
      <vt:lpstr>'Project (Sample-J)'!中区分28_ナノマイクロ科学およびその関連分野</vt:lpstr>
      <vt:lpstr>中区分28_ナノマイクロ科学およびその関連分野</vt:lpstr>
      <vt:lpstr>'Project (Sample-E)'!中区分29_応用物理物性およびその関連分野</vt:lpstr>
      <vt:lpstr>'Project (Sample-J)'!中区分29_応用物理物性およびその関連分野</vt:lpstr>
      <vt:lpstr>中区分29_応用物理物性およびその関連分野</vt:lpstr>
      <vt:lpstr>'Project (Sample-E)'!中区分30_応用物理工学およびその関連分野</vt:lpstr>
      <vt:lpstr>'Project (Sample-J)'!中区分30_応用物理工学およびその関連分野</vt:lpstr>
      <vt:lpstr>中区分30_応用物理工学およびその関連分野</vt:lpstr>
      <vt:lpstr>'Project (Sample-E)'!中区分31_原子力工学_地球資源工学_エネルギー学およびその関連分野</vt:lpstr>
      <vt:lpstr>'Project (Sample-J)'!中区分31_原子力工学_地球資源工学_エネルギー学およびその関連分野</vt:lpstr>
      <vt:lpstr>中区分31_原子力工学_地球資源工学_エネルギー学およびその関連分野</vt:lpstr>
      <vt:lpstr>'Project (Sample-E)'!中区分32_物理化学_機能物性化学およびその関連分野</vt:lpstr>
      <vt:lpstr>'Project (Sample-J)'!中区分32_物理化学_機能物性化学およびその関連分野</vt:lpstr>
      <vt:lpstr>中区分32_物理化学_機能物性化学およびその関連分野</vt:lpstr>
      <vt:lpstr>'Project (Sample-E)'!中区分33_有機化学およびその関連分野</vt:lpstr>
      <vt:lpstr>'Project (Sample-J)'!中区分33_有機化学およびその関連分野</vt:lpstr>
      <vt:lpstr>中区分33_有機化学およびその関連分野</vt:lpstr>
      <vt:lpstr>'Project (Sample-E)'!中区分34_無機・錯体化学_分析化学およびその関連分野</vt:lpstr>
      <vt:lpstr>'Project (Sample-J)'!中区分34_無機・錯体化学_分析化学およびその関連分野</vt:lpstr>
      <vt:lpstr>中区分34_無機・錯体化学_分析化学およびその関連分野</vt:lpstr>
      <vt:lpstr>'Project (Sample-E)'!中区分35_高分子_有機材料およびその関連分野</vt:lpstr>
      <vt:lpstr>'Project (Sample-J)'!中区分35_高分子_有機材料およびその関連分野</vt:lpstr>
      <vt:lpstr>中区分35_高分子_有機材料およびその関連分野</vt:lpstr>
      <vt:lpstr>'Project (Sample-E)'!中区分36_無機材料化学_エネルギー関連化学およびその関連分野</vt:lpstr>
      <vt:lpstr>'Project (Sample-J)'!中区分36_無機材料化学_エネルギー関連化学およびその関連分野</vt:lpstr>
      <vt:lpstr>中区分36_無機材料化学_エネルギー関連化学およびその関連分野</vt:lpstr>
      <vt:lpstr>'Project (Sample-E)'!中区分37_生体分子化学およびその関連分野</vt:lpstr>
      <vt:lpstr>'Project (Sample-J)'!中区分37_生体分子化学およびその関連分野</vt:lpstr>
      <vt:lpstr>中区分37_生体分子化学およびその関連分野</vt:lpstr>
      <vt:lpstr>'Project (Sample-E)'!中区分38_農芸化学およびその関連分野</vt:lpstr>
      <vt:lpstr>'Project (Sample-J)'!中区分38_農芸化学およびその関連分野</vt:lpstr>
      <vt:lpstr>中区分38_農芸化学およびその関連分野</vt:lpstr>
      <vt:lpstr>'Project (Sample-E)'!中区分39_生産環境農学およびその関連分野</vt:lpstr>
      <vt:lpstr>'Project (Sample-J)'!中区分39_生産環境農学およびその関連分野</vt:lpstr>
      <vt:lpstr>中区分39_生産環境農学およびその関連分野</vt:lpstr>
      <vt:lpstr>'Project (Sample-E)'!中区分40_森林圏科学_水圏応用科学およびその関連分野</vt:lpstr>
      <vt:lpstr>'Project (Sample-J)'!中区分40_森林圏科学_水圏応用科学およびその関連分野</vt:lpstr>
      <vt:lpstr>中区分40_森林圏科学_水圏応用科学およびその関連分野</vt:lpstr>
      <vt:lpstr>'Project (Sample-E)'!中区分41_社会経済農学_農業工学およびその関連分野</vt:lpstr>
      <vt:lpstr>'Project (Sample-J)'!中区分41_社会経済農学_農業工学およびその関連分野</vt:lpstr>
      <vt:lpstr>中区分41_社会経済農学_農業工学およびその関連分野</vt:lpstr>
      <vt:lpstr>'Project (Sample-E)'!中区分42_獣医学_畜産学およびその関連分野</vt:lpstr>
      <vt:lpstr>'Project (Sample-J)'!中区分42_獣医学_畜産学およびその関連分野</vt:lpstr>
      <vt:lpstr>中区分42_獣医学_畜産学およびその関連分野</vt:lpstr>
      <vt:lpstr>'Project (Sample-E)'!中区分43_分子レベルから細胞レベルの生物学およびその関連分野</vt:lpstr>
      <vt:lpstr>'Project (Sample-J)'!中区分43_分子レベルから細胞レベルの生物学およびその関連分野</vt:lpstr>
      <vt:lpstr>中区分43_分子レベルから細胞レベルの生物学およびその関連分野</vt:lpstr>
      <vt:lpstr>'Project (Sample-E)'!中区分44_細胞レベルから個体レベルの生物学およびその関連分野</vt:lpstr>
      <vt:lpstr>'Project (Sample-J)'!中区分44_細胞レベルから個体レベルの生物学およびその関連分野</vt:lpstr>
      <vt:lpstr>中区分44_細胞レベルから個体レベルの生物学およびその関連分野</vt:lpstr>
      <vt:lpstr>'Project (Sample-E)'!中区分45_個体レベルから集団レベルの生物学と人類学およびその関連分野</vt:lpstr>
      <vt:lpstr>'Project (Sample-J)'!中区分45_個体レベルから集団レベルの生物学と人類学およびその関連分野</vt:lpstr>
      <vt:lpstr>中区分45_個体レベルから集団レベルの生物学と人類学およびその関連分野</vt:lpstr>
      <vt:lpstr>'Project (Sample-E)'!中区分46_神経科学およびその関連分野</vt:lpstr>
      <vt:lpstr>'Project (Sample-J)'!中区分46_神経科学およびその関連分野</vt:lpstr>
      <vt:lpstr>中区分46_神経科学およびその関連分野</vt:lpstr>
      <vt:lpstr>'Project (Sample-E)'!中区分47_薬学およびその関連分野</vt:lpstr>
      <vt:lpstr>'Project (Sample-J)'!中区分47_薬学およびその関連分野</vt:lpstr>
      <vt:lpstr>中区分47_薬学およびその関連分野</vt:lpstr>
      <vt:lpstr>'Project (Sample-E)'!中区分48_生体の構造と機能およびその関連分野</vt:lpstr>
      <vt:lpstr>'Project (Sample-J)'!中区分48_生体の構造と機能およびその関連分野</vt:lpstr>
      <vt:lpstr>中区分48_生体の構造と機能およびその関連分野</vt:lpstr>
      <vt:lpstr>'Project (Sample-E)'!中区分49_病理病態学_感染・免疫学およびその関連分野</vt:lpstr>
      <vt:lpstr>'Project (Sample-J)'!中区分49_病理病態学_感染・免疫学およびその関連分野</vt:lpstr>
      <vt:lpstr>中区分49_病理病態学_感染・免疫学およびその関連分野</vt:lpstr>
      <vt:lpstr>'Project (Sample-E)'!中区分50_腫瘍学およびその関連分野</vt:lpstr>
      <vt:lpstr>'Project (Sample-J)'!中区分50_腫瘍学およびその関連分野</vt:lpstr>
      <vt:lpstr>中区分50_腫瘍学およびその関連分野</vt:lpstr>
      <vt:lpstr>'Project (Sample-E)'!中区分51_ブレインサイエンスおよびその関連分野</vt:lpstr>
      <vt:lpstr>'Project (Sample-J)'!中区分51_ブレインサイエンスおよびその関連分野</vt:lpstr>
      <vt:lpstr>中区分51_ブレインサイエンスおよびその関連分野</vt:lpstr>
      <vt:lpstr>'Project (Sample-E)'!中区分52_内科学一般およびその関連分野</vt:lpstr>
      <vt:lpstr>'Project (Sample-J)'!中区分52_内科学一般およびその関連分野</vt:lpstr>
      <vt:lpstr>中区分52_内科学一般およびその関連分野</vt:lpstr>
      <vt:lpstr>'Project (Sample-E)'!中区分53_器官システム内科学およびその関連分野</vt:lpstr>
      <vt:lpstr>'Project (Sample-J)'!中区分53_器官システム内科学およびその関連分野</vt:lpstr>
      <vt:lpstr>中区分53_器官システム内科学およびその関連分野</vt:lpstr>
      <vt:lpstr>'Project (Sample-E)'!中区分54_生体情報内科学およびその関連分野</vt:lpstr>
      <vt:lpstr>'Project (Sample-J)'!中区分54_生体情報内科学およびその関連分野</vt:lpstr>
      <vt:lpstr>中区分54_生体情報内科学およびその関連分野</vt:lpstr>
      <vt:lpstr>'Project (Sample-E)'!中区分55_恒常性維持器官の外科学およびその関連分野</vt:lpstr>
      <vt:lpstr>'Project (Sample-J)'!中区分55_恒常性維持器官の外科学およびその関連分野</vt:lpstr>
      <vt:lpstr>中区分55_恒常性維持器官の外科学およびその関連分野</vt:lpstr>
      <vt:lpstr>'Project (Sample-E)'!中区分56_生体機能および感覚に関する外科学およびその関連分野</vt:lpstr>
      <vt:lpstr>'Project (Sample-J)'!中区分56_生体機能および感覚に関する外科学およびその関連分野</vt:lpstr>
      <vt:lpstr>中区分56_生体機能および感覚に関する外科学およびその関連分野</vt:lpstr>
      <vt:lpstr>'Project (Sample-E)'!中区分57_口腔科学およびその関連分野</vt:lpstr>
      <vt:lpstr>'Project (Sample-J)'!中区分57_口腔科学およびその関連分野</vt:lpstr>
      <vt:lpstr>中区分57_口腔科学およびその関連分野</vt:lpstr>
      <vt:lpstr>'Project (Sample-E)'!中区分58_社会医学_看護学およびその関連分野</vt:lpstr>
      <vt:lpstr>'Project (Sample-J)'!中区分58_社会医学_看護学およびその関連分野</vt:lpstr>
      <vt:lpstr>中区分58_社会医学_看護学およびその関連分野</vt:lpstr>
      <vt:lpstr>'Project (Sample-E)'!中区分59_スポーツ科学_体育_健康科学およびその関連分野</vt:lpstr>
      <vt:lpstr>'Project (Sample-J)'!中区分59_スポーツ科学_体育_健康科学およびその関連分野</vt:lpstr>
      <vt:lpstr>中区分59_スポーツ科学_体育_健康科学およびその関連分野</vt:lpstr>
      <vt:lpstr>'Project (Sample-E)'!中区分62_応用情報学およびその関連分野</vt:lpstr>
      <vt:lpstr>'Project (Sample-J)'!中区分62_応用情報学およびその関連分野</vt:lpstr>
      <vt:lpstr>中区分62_応用情報学およびその関連分野</vt:lpstr>
      <vt:lpstr>'Project (Sample-E)'!中区分63_環境解析評価およびその関連分野</vt:lpstr>
      <vt:lpstr>'Project (Sample-J)'!中区分63_環境解析評価およびその関連分野</vt:lpstr>
      <vt:lpstr>中区分63_環境解析評価およびその関連分野</vt:lpstr>
      <vt:lpstr>'Project (Sample-E)'!中区分90_人間医工学およびその関連分野</vt:lpstr>
      <vt:lpstr>'Project (Sample-J)'!中区分90_人間医工学およびその関連分野</vt:lpstr>
      <vt:lpstr>中区分90_人間医工学およびその関連分野</vt:lpstr>
      <vt:lpstr>'Project (Sample-E)'!歴史学_考古学_博物館学およびその関連分野</vt:lpstr>
      <vt:lpstr>'Project (Sample-J)'!歴史学_考古学_博物館学およびその関連分野</vt:lpstr>
      <vt:lpstr>歴史学_考古学_博物館学およびその関連分野</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JHPCN2026Project</dc:description>
  <cp:lastModifiedBy>森重　博司</cp:lastModifiedBy>
  <cp:revision/>
  <dcterms:created xsi:type="dcterms:W3CDTF">2017-08-03T06:42:25Z</dcterms:created>
  <dcterms:modified xsi:type="dcterms:W3CDTF">2025-12-08T04:58:35Z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0x0101005A971AC431476B4F9AB24AB0DBCB4F6E</vt:lpwstr>
  </property>
  <property fmtid="{D5CDD505-2E9C-101B-9397-08002B2CF9AE}" pid="3" name="MediaServiceImageTags">
    <vt:lpwstr/>
  </property>
</Properties>
</file>